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7185" tabRatio="805" activeTab="0"/>
  </bookViews>
  <sheets>
    <sheet name="Forudsætninger og 15 års budget" sheetId="1" r:id="rId1"/>
    <sheet name="Vejl. og tjekliste" sheetId="2" r:id="rId2"/>
    <sheet name="Mellemregninger" sheetId="3" state="hidden" r:id="rId3"/>
    <sheet name="Mellemregning 2" sheetId="4" state="hidden" r:id="rId4"/>
    <sheet name="Ark1" sheetId="5" state="hidden" r:id="rId5"/>
    <sheet name="Ark2" sheetId="6" state="hidden" r:id="rId6"/>
  </sheets>
  <definedNames>
    <definedName name="_xlfn.IFERROR" hidden="1">#NAME?</definedName>
    <definedName name="_xlnm.Print_Area" localSheetId="0">'Forudsætninger og 15 års budget'!$A$1:$AM$53</definedName>
    <definedName name="_xlnm.Print_Area" localSheetId="2">'Mellemregninger'!$A$2:$R$73</definedName>
  </definedNames>
  <calcPr fullCalcOnLoad="1"/>
</workbook>
</file>

<file path=xl/sharedStrings.xml><?xml version="1.0" encoding="utf-8"?>
<sst xmlns="http://schemas.openxmlformats.org/spreadsheetml/2006/main" count="522" uniqueCount="252">
  <si>
    <t>kWh</t>
  </si>
  <si>
    <t>kr./kWh</t>
  </si>
  <si>
    <t>Husstandsmøllens pris</t>
  </si>
  <si>
    <t>Levetid</t>
  </si>
  <si>
    <t>år</t>
  </si>
  <si>
    <t>Årlige driftsomkostninger</t>
  </si>
  <si>
    <t>kr./år</t>
  </si>
  <si>
    <t>Driftsomkostninger</t>
  </si>
  <si>
    <t>Fremmedfinansiering</t>
  </si>
  <si>
    <t>Rente</t>
  </si>
  <si>
    <t>Renter</t>
  </si>
  <si>
    <t>Resultat</t>
  </si>
  <si>
    <t>Husstandsmøllens produktion</t>
  </si>
  <si>
    <t>Afdrag på lån</t>
  </si>
  <si>
    <t xml:space="preserve">af forbruget </t>
  </si>
  <si>
    <t>Sag nr:</t>
  </si>
  <si>
    <t>Dato:</t>
  </si>
  <si>
    <t>Salg af overskuds el</t>
  </si>
  <si>
    <t>år 1</t>
  </si>
  <si>
    <t>år 2</t>
  </si>
  <si>
    <t>år 3</t>
  </si>
  <si>
    <t>år 4</t>
  </si>
  <si>
    <t>år 5</t>
  </si>
  <si>
    <t>år 6</t>
  </si>
  <si>
    <t>år 7</t>
  </si>
  <si>
    <t>år 8</t>
  </si>
  <si>
    <t>år 9</t>
  </si>
  <si>
    <t>år 10</t>
  </si>
  <si>
    <t>år 11</t>
  </si>
  <si>
    <t>år 12</t>
  </si>
  <si>
    <t>år 13</t>
  </si>
  <si>
    <t>år 14</t>
  </si>
  <si>
    <t>år 15</t>
  </si>
  <si>
    <t>max. 15 år</t>
  </si>
  <si>
    <t xml:space="preserve">Løbetid på serielån </t>
  </si>
  <si>
    <t>Passiver i alt</t>
  </si>
  <si>
    <t>kr.</t>
  </si>
  <si>
    <t>Skattemæssige afskrivninger</t>
  </si>
  <si>
    <t>Afskrivning skat</t>
  </si>
  <si>
    <t>afskrivning</t>
  </si>
  <si>
    <t>Forskel</t>
  </si>
  <si>
    <t>Resultat før finansiering</t>
  </si>
  <si>
    <t>Resultat virksomhed  år 1:</t>
  </si>
  <si>
    <t>Sparet el indkøb</t>
  </si>
  <si>
    <t>Driftsmæssig afskrivning</t>
  </si>
  <si>
    <t>Skat heraf</t>
  </si>
  <si>
    <t>Likviditet i virksomheden</t>
  </si>
  <si>
    <t>Likviditet i privat</t>
  </si>
  <si>
    <t>Likviditet total</t>
  </si>
  <si>
    <t>Lån</t>
  </si>
  <si>
    <t>Resultat virksomhed</t>
  </si>
  <si>
    <t>Afskrivninger tilbageført</t>
  </si>
  <si>
    <t>Aktiver i virksomheden</t>
  </si>
  <si>
    <t>I alt aktiver</t>
  </si>
  <si>
    <t>afdrag</t>
  </si>
  <si>
    <t>restgæld</t>
  </si>
  <si>
    <t>rente</t>
  </si>
  <si>
    <t>Resultat i virksomhed</t>
  </si>
  <si>
    <t>Passiver i virksomheden</t>
  </si>
  <si>
    <t>I alt gæld</t>
  </si>
  <si>
    <t>antal år</t>
  </si>
  <si>
    <t>Nedskrevet værdi husstandvindmølle</t>
  </si>
  <si>
    <t xml:space="preserve">Udskudt skat </t>
  </si>
  <si>
    <t>Skatteprocent</t>
  </si>
  <si>
    <t>Udskud skat akkumuleret</t>
  </si>
  <si>
    <t>Akkumuleret likviditet i privatøkonomien</t>
  </si>
  <si>
    <t>Likviditet privat</t>
  </si>
  <si>
    <t>Likviditets underskud virksomhed</t>
  </si>
  <si>
    <t>Salg af el</t>
  </si>
  <si>
    <t>Privat likviditet  år 1:</t>
  </si>
  <si>
    <t>Renteudgifter</t>
  </si>
  <si>
    <t>Akkumuleret resultat  i virksomheden over 15 år</t>
  </si>
  <si>
    <t>Husstandsmøllens påvirkning på privatøkonomien</t>
  </si>
  <si>
    <t>Likviditeten i privatøkonomi</t>
  </si>
  <si>
    <t>Med anvendelse af  virksomhedsordningen</t>
  </si>
  <si>
    <t>Udskudt i virksomhedsordningen</t>
  </si>
  <si>
    <t>Resultat  gennemsnit over 15 år i virksomheden</t>
  </si>
  <si>
    <t>Akkumuleret privat likvidtetsafkast total over 15 år</t>
  </si>
  <si>
    <t>Privat likvidtetafkast gennemsnit over  15 år</t>
  </si>
  <si>
    <t>Udskud skat</t>
  </si>
  <si>
    <t>Udskudt skat akkumuleret</t>
  </si>
  <si>
    <t>Kapitalafkast</t>
  </si>
  <si>
    <t>Mølle</t>
  </si>
  <si>
    <t>Mellemregning</t>
  </si>
  <si>
    <t>primo</t>
  </si>
  <si>
    <t>Saldo</t>
  </si>
  <si>
    <t>Møllen</t>
  </si>
  <si>
    <t xml:space="preserve">Egenkapital  </t>
  </si>
  <si>
    <t>Afvikling af lånet  serielån</t>
  </si>
  <si>
    <t>Afvikling af lån  annuitetslån.</t>
  </si>
  <si>
    <t>Forsikring</t>
  </si>
  <si>
    <t>Indskudskontoen</t>
  </si>
  <si>
    <t>Personlig indkomst</t>
  </si>
  <si>
    <t>Egenkapital</t>
  </si>
  <si>
    <t xml:space="preserve">Mellemregning </t>
  </si>
  <si>
    <t>akt</t>
  </si>
  <si>
    <t>passiver</t>
  </si>
  <si>
    <t>Overført mellemregn.</t>
  </si>
  <si>
    <t>Opsummeret saldo</t>
  </si>
  <si>
    <t>Mellemregning  saldo overført  til indskudskontoen</t>
  </si>
  <si>
    <t>Service</t>
  </si>
  <si>
    <t>Revisor</t>
  </si>
  <si>
    <t>kr. /år</t>
  </si>
  <si>
    <t>Privat gennemsnit  likviditetsafkast over 15 år</t>
  </si>
  <si>
    <t>Heraf anvendt til likviditetsunderskud i virksomhed</t>
  </si>
  <si>
    <t>Rest likvidtet i privatøkonomien</t>
  </si>
  <si>
    <t>Køb af el</t>
  </si>
  <si>
    <t>Køb af el på grund af manglende produktion</t>
  </si>
  <si>
    <t>Skatteværdi af underskud / overskud virksomhed</t>
  </si>
  <si>
    <t>Evt. værdi af eget forbrug af el</t>
  </si>
  <si>
    <t>Følsomhed:</t>
  </si>
  <si>
    <t>Forudsætning</t>
  </si>
  <si>
    <t>Ændring i indkøbspris på el pr. år</t>
  </si>
  <si>
    <t>Ændring</t>
  </si>
  <si>
    <t>alternativ</t>
  </si>
  <si>
    <t>likviditet</t>
  </si>
  <si>
    <t xml:space="preserve">kr. </t>
  </si>
  <si>
    <t>Investering</t>
  </si>
  <si>
    <t>-2 % mindre stigning elpris</t>
  </si>
  <si>
    <t>Rente -1 %</t>
  </si>
  <si>
    <t>+/- 1 % ændring af rente</t>
  </si>
  <si>
    <t>Netto</t>
  </si>
  <si>
    <t>Følsomhedsanalyse  akkumuleret privat likviditet over 15 år.</t>
  </si>
  <si>
    <t>+ 10 % i elproduktion</t>
  </si>
  <si>
    <t>+ 10 % i elproduktionen</t>
  </si>
  <si>
    <t>+ 10% i elproduktionen</t>
  </si>
  <si>
    <t>kr. i perioden</t>
  </si>
  <si>
    <t>- 10 % i elproduktionen</t>
  </si>
  <si>
    <t>Værdi af eget forbrug af el</t>
  </si>
  <si>
    <t>resultat</t>
  </si>
  <si>
    <t>Følsomhedsanalyse akkumeleret resultat virksomheden over 15 år</t>
  </si>
  <si>
    <t>Investering /restværdi ultimo</t>
  </si>
  <si>
    <t>Skat personlig indkomst'</t>
  </si>
  <si>
    <t>Skat kapitalindkomst</t>
  </si>
  <si>
    <t>I alt skat</t>
  </si>
  <si>
    <t>Heraf beskattes som kapitalindkomst</t>
  </si>
  <si>
    <t>Sparet indkøb af el til erhverv</t>
  </si>
  <si>
    <t>pr. år</t>
  </si>
  <si>
    <t xml:space="preserve">Skattemæssig værdi privat  elforbrug </t>
  </si>
  <si>
    <t>af total forbrug</t>
  </si>
  <si>
    <t>Total elforbrug</t>
  </si>
  <si>
    <t>Pris på indkøbt el</t>
  </si>
  <si>
    <t>Erhvervsandel el</t>
  </si>
  <si>
    <t xml:space="preserve">Privatandel  el </t>
  </si>
  <si>
    <t>Erhvervsmæssig forbrug</t>
  </si>
  <si>
    <t>Privat forbrug</t>
  </si>
  <si>
    <t>El omsætningen</t>
  </si>
  <si>
    <t>Forbrug</t>
  </si>
  <si>
    <t xml:space="preserve">Produktion </t>
  </si>
  <si>
    <t>Indkøb af el</t>
  </si>
  <si>
    <t>Skatteværdi af privat andel</t>
  </si>
  <si>
    <t>Privat andel kWh</t>
  </si>
  <si>
    <t>Erhvervsandel kWh</t>
  </si>
  <si>
    <t>Total kWh</t>
  </si>
  <si>
    <t>Sparet indkøb privat el</t>
  </si>
  <si>
    <t>El omsætningen   + 10 % større produktion:</t>
  </si>
  <si>
    <t>El omsætningen   -  10 % mindre produktion:</t>
  </si>
  <si>
    <t>10 % mindre produktion</t>
  </si>
  <si>
    <t>10 % større produktion</t>
  </si>
  <si>
    <t>Sparet indkøb erhvervsandel el</t>
  </si>
  <si>
    <t>Indkøb af privat el (manglende produktion)</t>
  </si>
  <si>
    <t>Indkøb af el til erhverv (manglende produktion)</t>
  </si>
  <si>
    <t>Akkummuleret likvidtet  i privat</t>
  </si>
  <si>
    <t>Likvidtetsresultat</t>
  </si>
  <si>
    <t>Likvidtets før afdrag</t>
  </si>
  <si>
    <t>Likvidtet før afdrag akkumuleret</t>
  </si>
  <si>
    <t>Husstandsvinfmøllens virksomhedsregnskab  10 % mindre i  elproduktionen</t>
  </si>
  <si>
    <t>Husstandsvindmøllens virksomhedsregnskab   2% ændring i prisstigning på el</t>
  </si>
  <si>
    <t>Husstandsvindmøllens virksomhedsregnskab  1% ændring i renter</t>
  </si>
  <si>
    <t>Husstandsvindmøllens virksomhedsregnskab 10 % mere i elproduktion</t>
  </si>
  <si>
    <t>Heraf kapitalafkast</t>
  </si>
  <si>
    <t>Beregning af skat</t>
  </si>
  <si>
    <t>Beskatning af virksomhedsindkomsten</t>
  </si>
  <si>
    <t>år  max. 15 år</t>
  </si>
  <si>
    <t>Elforbruget</t>
  </si>
  <si>
    <t>Elforbruget:</t>
  </si>
  <si>
    <t>Husstandsmøllen produktion:</t>
  </si>
  <si>
    <t>Priser på indkøbt el:</t>
  </si>
  <si>
    <t>Investeringen:</t>
  </si>
  <si>
    <t>Fastlæggelse dels af det erhvervsmæssige - og det private forbrug i kWh.</t>
  </si>
  <si>
    <t>Fastlæggelse af den forventede produktion af kWh for husstandsvindmøllen</t>
  </si>
  <si>
    <t xml:space="preserve">I alt investering </t>
  </si>
  <si>
    <t xml:space="preserve">Beregningsprogrammet  er udarbejdet til virksomhedsordningen efter anvisninger i SKATM-2011-00-12, hvor det fremgår, at ved opgørelse af indkomsten fra vindmøller skal alle indtægter tælles med, herunder også el- eller varmeforbrug anvendt i den private bolig eller anvendt erhvervsmæssigt i en virksomhed eller i en kombination af både privat og erhverv. Der kan samtidig ske fradrag for udgifterne til drift, vedligeholdelse, afskrivninger m.v.  </t>
  </si>
  <si>
    <t>Fremmed finansieringen:</t>
  </si>
  <si>
    <t>Rente:</t>
  </si>
  <si>
    <t>Angivelse af rente i % på fremmedfinansieringen.</t>
  </si>
  <si>
    <t>Levetid:</t>
  </si>
  <si>
    <t>Marginal på personlig indkomst</t>
  </si>
  <si>
    <t>Skatteprocent på kapitalindkomst</t>
  </si>
  <si>
    <t>Skatteprocenter:</t>
  </si>
  <si>
    <t>Skatteprocenter</t>
  </si>
  <si>
    <t>Forventet ændring i indkøbspris på el pr. år:</t>
  </si>
  <si>
    <t>Angivelse af forventet stigning i elpriser i de kommende år. Angivet som i %.</t>
  </si>
  <si>
    <t>Driftsomkostninger:</t>
  </si>
  <si>
    <t>Ændring i driftsomkostninger /  år</t>
  </si>
  <si>
    <t>Angivelse af de årlige driftsomkostninger. Der er mulighed for specifikation.</t>
  </si>
  <si>
    <t>Forbrug af el til privat og erhverv</t>
  </si>
  <si>
    <t>Tjek</t>
  </si>
  <si>
    <t>Bemærkninger</t>
  </si>
  <si>
    <t xml:space="preserve">Fastlæggelse af den samlede investering med mulighed for specifikation. </t>
  </si>
  <si>
    <t>Hvis der opnås momsrefusion på investeringen skal der indtastes beløb før moms.</t>
  </si>
  <si>
    <t>Løbetid for serielånet:</t>
  </si>
  <si>
    <t>Fastlæggelse af lånebeløb, angives i % af investeringen.  Lånet optages som er serielån på max. 15 år.</t>
  </si>
  <si>
    <t>Kan max. være 15 år.</t>
  </si>
  <si>
    <t>Er der reelle muligheder for finansiering</t>
  </si>
  <si>
    <t>Marginal skatteprocenter:</t>
  </si>
  <si>
    <t>Påvirkning af mulighederne for dagspenge og efterløn</t>
  </si>
  <si>
    <t>Tjek hos "skat"</t>
  </si>
  <si>
    <t>Skatteafskrivnings % på møllen</t>
  </si>
  <si>
    <t>Angivelse i %.  Max. 25 %</t>
  </si>
  <si>
    <t>Kan max. være 25%</t>
  </si>
  <si>
    <t>Rådgiv om medlemskab af A-kasse og mulighederne for efterløn ved at drive selvstændig virksomhed som lønmodtager.</t>
  </si>
  <si>
    <t xml:space="preserve">Er den realistisk ?.   </t>
  </si>
  <si>
    <t>Ved anvendelse af beregningsprogrammet skal der tages stilling til følgende forudsætninger.  Regnearket er låst, og der kan kun indtastes i de hvide felter.</t>
  </si>
  <si>
    <t>Er det angivne forbrug realistisk ?.                                          Tjek de nuværende opgørelser fra elværket</t>
  </si>
  <si>
    <t>Er det angivne produktion realistisk ?.    Møllens placering i landskabet er en væsentlig faktor.</t>
  </si>
  <si>
    <t>Er den realistisk ?.  Max. 15 år.</t>
  </si>
  <si>
    <t>Vejledning  program til husstandsvindmølle</t>
  </si>
  <si>
    <t xml:space="preserve">Udført af </t>
  </si>
  <si>
    <t>________________________</t>
  </si>
  <si>
    <t>dato</t>
  </si>
  <si>
    <t>____________________</t>
  </si>
  <si>
    <t xml:space="preserve">kWh svarende til </t>
  </si>
  <si>
    <t>Resultatopgørelse</t>
  </si>
  <si>
    <t>Programmet består af følgende ark:</t>
  </si>
  <si>
    <t>Forudsætning og 15 års budget</t>
  </si>
  <si>
    <t>Vejledning og tjekliste</t>
  </si>
  <si>
    <t>3 og 4  ved udskrift af hele arket</t>
  </si>
  <si>
    <t>1 og 2  ved udskrift af hele alle ark</t>
  </si>
  <si>
    <t xml:space="preserve">Angivelsen af aktuel pris for indkøbt el dels for den private andel og dels den erhvervsmæssige del. </t>
  </si>
  <si>
    <t>Angivelse af forventet levetid i år, kan max. være 15 år.  Anvendes til opgørelse af eventuel udskudt skat.</t>
  </si>
  <si>
    <t>Angivelse af marginal skatteprocent på personlig indkomst og på kapitalindkomst.  Programmet beregner  evt. kapital afkast og beskatter dette som kapitalindkomst.</t>
  </si>
  <si>
    <t>Angivelse af forventet stigning i driftsomkostningerne i de kommende år med mulighed for specifikation. Angivet i %.</t>
  </si>
  <si>
    <t xml:space="preserve">Husk at tage hensyn til refusion af moms og afgifter for den erhvervsmæssige andel. Den erhvervsmæssige pris er efter refusionen af afgifter og moms. </t>
  </si>
  <si>
    <t>Er renten realistisk ?</t>
  </si>
  <si>
    <t>Er beløbene realistiske ?</t>
  </si>
  <si>
    <t>Er ændringen realistiske ?</t>
  </si>
  <si>
    <t>Investering/restværdi</t>
  </si>
  <si>
    <t>Energigården</t>
  </si>
  <si>
    <t>Ennergivej 1</t>
  </si>
  <si>
    <t>9999   Energiby</t>
  </si>
  <si>
    <t>Forudsætninger  max. 6 kWh i effekt.</t>
  </si>
  <si>
    <t>Investering i "Grøn Energi til husbehov"</t>
  </si>
  <si>
    <t>Tjekliste program til "Grøn Energi til husbehov"</t>
  </si>
  <si>
    <t>Skriv om det er husstandvindmølle eller solceller ??</t>
  </si>
  <si>
    <t>"Grøn Energi til Husbehov"  virksomhedsregnskab</t>
  </si>
  <si>
    <t xml:space="preserve">Nedskrevet værdi </t>
  </si>
  <si>
    <t>Resultat før finansiering og afskrivninger</t>
  </si>
  <si>
    <t xml:space="preserve">Afskrivning </t>
  </si>
  <si>
    <t>første  10 år</t>
  </si>
  <si>
    <t>efter 10 år</t>
  </si>
  <si>
    <t>Lars Landmand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</si>
</sst>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406]d\.\ mmmm\ yyyy"/>
    <numFmt numFmtId="165" formatCode="[$-406]d\.\ mmmm\ yyyy;@"/>
    <numFmt numFmtId="166" formatCode="_ * #,##0.0_ ;_ * \-#,##0.0_ ;_ * &quot;-&quot;??_ ;_ @_ "/>
    <numFmt numFmtId="167" formatCode="_ * #,##0_ ;_ * \-#,##0_ ;_ * &quot;-&quot;??_ ;_ @_ "/>
    <numFmt numFmtId="168" formatCode="0.000%"/>
    <numFmt numFmtId="169" formatCode="0.0000%"/>
    <numFmt numFmtId="170" formatCode="0.0%"/>
    <numFmt numFmtId="171" formatCode="&quot;kr&quot;\ #,##0.00"/>
    <numFmt numFmtId="172" formatCode="&quot;kr&quot;\ #,##0.0"/>
    <numFmt numFmtId="173" formatCode="&quot;kr&quot;\ #,##0"/>
    <numFmt numFmtId="174" formatCode="#,##0_ ;\-#,##0\ "/>
    <numFmt numFmtId="175" formatCode="#,##0.00_ ;\-#,##0.00\ "/>
    <numFmt numFmtId="176" formatCode="#,##0.0_ ;\-#,##0.0\ "/>
    <numFmt numFmtId="177" formatCode="_ * #,##0.0_ ;_ * \-#,##0.0_ ;_ * &quot;-&quot;?_ ;_ @_ "/>
    <numFmt numFmtId="178" formatCode="&quot;kr&quot;\ #,##0.0;&quot;kr&quot;\ \-#,##0.0"/>
    <numFmt numFmtId="179" formatCode="0.00000"/>
    <numFmt numFmtId="180" formatCode="0.0000"/>
    <numFmt numFmtId="181" formatCode="0.000"/>
    <numFmt numFmtId="182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5.95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95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6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20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6"/>
      <color indexed="8"/>
      <name val="Arial"/>
      <family val="2"/>
    </font>
    <font>
      <b/>
      <sz val="18"/>
      <color indexed="8"/>
      <name val="Arial Black"/>
      <family val="2"/>
    </font>
    <font>
      <sz val="11"/>
      <color indexed="8"/>
      <name val="Arial Black"/>
      <family val="2"/>
    </font>
    <font>
      <sz val="16"/>
      <color indexed="8"/>
      <name val="Arial Black"/>
      <family val="2"/>
    </font>
    <font>
      <b/>
      <i/>
      <u val="single"/>
      <sz val="22"/>
      <color indexed="8"/>
      <name val="Arial"/>
      <family val="2"/>
    </font>
    <font>
      <b/>
      <i/>
      <u val="single"/>
      <sz val="16"/>
      <color indexed="8"/>
      <name val="Arial Black"/>
      <family val="2"/>
    </font>
    <font>
      <sz val="20"/>
      <color indexed="8"/>
      <name val="Arial Black"/>
      <family val="2"/>
    </font>
    <font>
      <b/>
      <i/>
      <sz val="24"/>
      <color indexed="56"/>
      <name val="Arial Black"/>
      <family val="2"/>
    </font>
    <font>
      <b/>
      <i/>
      <sz val="24"/>
      <color indexed="8"/>
      <name val="Arial Black"/>
      <family val="2"/>
    </font>
    <font>
      <b/>
      <i/>
      <sz val="36"/>
      <color indexed="18"/>
      <name val="Arial Black"/>
      <family val="2"/>
    </font>
    <font>
      <sz val="10"/>
      <color indexed="8"/>
      <name val="Arial Black"/>
      <family val="2"/>
    </font>
    <font>
      <i/>
      <sz val="10"/>
      <color indexed="8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5.95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5.95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6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i/>
      <u val="single"/>
      <sz val="20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2"/>
      <color theme="1"/>
      <name val="Arial"/>
      <family val="2"/>
    </font>
    <font>
      <b/>
      <i/>
      <sz val="2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i/>
      <u val="single"/>
      <sz val="16"/>
      <color theme="1"/>
      <name val="Arial"/>
      <family val="2"/>
    </font>
    <font>
      <b/>
      <sz val="18"/>
      <color theme="1"/>
      <name val="Arial Black"/>
      <family val="2"/>
    </font>
    <font>
      <sz val="11"/>
      <color theme="1"/>
      <name val="Arial Black"/>
      <family val="2"/>
    </font>
    <font>
      <sz val="16"/>
      <color theme="1"/>
      <name val="Arial Black"/>
      <family val="2"/>
    </font>
    <font>
      <b/>
      <i/>
      <u val="single"/>
      <sz val="22"/>
      <color theme="1"/>
      <name val="Arial"/>
      <family val="2"/>
    </font>
    <font>
      <b/>
      <i/>
      <u val="single"/>
      <sz val="16"/>
      <color theme="1"/>
      <name val="Arial Black"/>
      <family val="2"/>
    </font>
    <font>
      <sz val="20"/>
      <color theme="1"/>
      <name val="Arial Black"/>
      <family val="2"/>
    </font>
    <font>
      <b/>
      <i/>
      <sz val="24"/>
      <color theme="3" tint="-0.4999699890613556"/>
      <name val="Arial Black"/>
      <family val="2"/>
    </font>
    <font>
      <b/>
      <i/>
      <sz val="24"/>
      <color theme="1"/>
      <name val="Arial Black"/>
      <family val="2"/>
    </font>
    <font>
      <b/>
      <i/>
      <sz val="36"/>
      <color theme="3" tint="-0.24997000396251678"/>
      <name val="Arial Black"/>
      <family val="2"/>
    </font>
    <font>
      <sz val="10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3" borderId="2" applyNumberFormat="0" applyAlignment="0" applyProtection="0"/>
    <xf numFmtId="0" fontId="53" fillId="24" borderId="3" applyNumberFormat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1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47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1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9" fontId="61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67" fontId="0" fillId="0" borderId="19" xfId="15" applyNumberFormat="1" applyFont="1" applyBorder="1" applyAlignment="1">
      <alignment/>
    </xf>
    <xf numFmtId="167" fontId="0" fillId="0" borderId="20" xfId="15" applyNumberFormat="1" applyFont="1" applyBorder="1" applyAlignment="1">
      <alignment/>
    </xf>
    <xf numFmtId="9" fontId="0" fillId="0" borderId="0" xfId="0" applyNumberFormat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25" xfId="0" applyNumberFormat="1" applyBorder="1" applyAlignment="1">
      <alignment/>
    </xf>
    <xf numFmtId="167" fontId="0" fillId="0" borderId="0" xfId="15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0" fillId="0" borderId="27" xfId="15" applyNumberFormat="1" applyFont="1" applyBorder="1" applyAlignment="1">
      <alignment/>
    </xf>
    <xf numFmtId="167" fontId="0" fillId="0" borderId="28" xfId="15" applyNumberFormat="1" applyFont="1" applyBorder="1" applyAlignment="1">
      <alignment/>
    </xf>
    <xf numFmtId="0" fontId="61" fillId="0" borderId="27" xfId="0" applyFont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9" xfId="0" applyFill="1" applyBorder="1" applyAlignment="1">
      <alignment/>
    </xf>
    <xf numFmtId="167" fontId="0" fillId="3" borderId="29" xfId="15" applyNumberFormat="1" applyFont="1" applyFill="1" applyBorder="1" applyAlignment="1">
      <alignment/>
    </xf>
    <xf numFmtId="9" fontId="0" fillId="0" borderId="0" xfId="57" applyFont="1" applyAlignment="1">
      <alignment/>
    </xf>
    <xf numFmtId="167" fontId="0" fillId="3" borderId="29" xfId="15" applyNumberFormat="1" applyFont="1" applyFill="1" applyBorder="1" applyAlignment="1">
      <alignment horizontal="center"/>
    </xf>
    <xf numFmtId="167" fontId="0" fillId="0" borderId="0" xfId="15" applyNumberFormat="1" applyFont="1" applyAlignment="1">
      <alignment/>
    </xf>
    <xf numFmtId="167" fontId="0" fillId="0" borderId="27" xfId="0" applyNumberFormat="1" applyBorder="1" applyAlignment="1">
      <alignment/>
    </xf>
    <xf numFmtId="167" fontId="0" fillId="0" borderId="0" xfId="15" applyNumberFormat="1" applyFont="1" applyAlignment="1">
      <alignment/>
    </xf>
    <xf numFmtId="167" fontId="0" fillId="0" borderId="0" xfId="15" applyNumberFormat="1" applyFont="1" applyAlignment="1">
      <alignment/>
    </xf>
    <xf numFmtId="167" fontId="63" fillId="0" borderId="0" xfId="15" applyNumberFormat="1" applyFont="1" applyAlignment="1">
      <alignment/>
    </xf>
    <xf numFmtId="0" fontId="63" fillId="0" borderId="0" xfId="0" applyFont="1" applyAlignment="1">
      <alignment/>
    </xf>
    <xf numFmtId="167" fontId="63" fillId="10" borderId="27" xfId="15" applyNumberFormat="1" applyFont="1" applyFill="1" applyBorder="1" applyAlignment="1">
      <alignment/>
    </xf>
    <xf numFmtId="3" fontId="64" fillId="10" borderId="0" xfId="0" applyNumberFormat="1" applyFont="1" applyFill="1" applyBorder="1" applyAlignment="1">
      <alignment/>
    </xf>
    <xf numFmtId="167" fontId="63" fillId="10" borderId="0" xfId="15" applyNumberFormat="1" applyFont="1" applyFill="1" applyBorder="1" applyAlignment="1">
      <alignment/>
    </xf>
    <xf numFmtId="3" fontId="65" fillId="10" borderId="0" xfId="0" applyNumberFormat="1" applyFont="1" applyFill="1" applyBorder="1" applyAlignment="1">
      <alignment/>
    </xf>
    <xf numFmtId="3" fontId="63" fillId="10" borderId="0" xfId="0" applyNumberFormat="1" applyFont="1" applyFill="1" applyBorder="1" applyAlignment="1">
      <alignment horizontal="left" indent="1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/>
    </xf>
    <xf numFmtId="167" fontId="63" fillId="0" borderId="27" xfId="15" applyNumberFormat="1" applyFont="1" applyBorder="1" applyAlignment="1">
      <alignment/>
    </xf>
    <xf numFmtId="167" fontId="64" fillId="10" borderId="29" xfId="15" applyNumberFormat="1" applyFont="1" applyFill="1" applyBorder="1" applyAlignment="1">
      <alignment vertical="center"/>
    </xf>
    <xf numFmtId="0" fontId="64" fillId="0" borderId="0" xfId="0" applyFont="1" applyAlignment="1">
      <alignment vertical="center"/>
    </xf>
    <xf numFmtId="167" fontId="63" fillId="10" borderId="27" xfId="15" applyNumberFormat="1" applyFont="1" applyFill="1" applyBorder="1" applyAlignment="1">
      <alignment vertical="center"/>
    </xf>
    <xf numFmtId="3" fontId="64" fillId="10" borderId="30" xfId="0" applyNumberFormat="1" applyFont="1" applyFill="1" applyBorder="1" applyAlignment="1">
      <alignment horizontal="left" vertical="center"/>
    </xf>
    <xf numFmtId="3" fontId="63" fillId="10" borderId="0" xfId="0" applyNumberFormat="1" applyFont="1" applyFill="1" applyBorder="1" applyAlignment="1">
      <alignment horizontal="left" vertical="center"/>
    </xf>
    <xf numFmtId="14" fontId="66" fillId="0" borderId="0" xfId="0" applyNumberFormat="1" applyFont="1" applyAlignment="1">
      <alignment/>
    </xf>
    <xf numFmtId="14" fontId="67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0" fontId="68" fillId="0" borderId="0" xfId="0" applyFont="1" applyAlignment="1">
      <alignment/>
    </xf>
    <xf numFmtId="0" fontId="63" fillId="2" borderId="0" xfId="0" applyFont="1" applyFill="1" applyAlignment="1">
      <alignment/>
    </xf>
    <xf numFmtId="0" fontId="63" fillId="2" borderId="0" xfId="0" applyFont="1" applyFill="1" applyAlignment="1" applyProtection="1">
      <alignment/>
      <protection/>
    </xf>
    <xf numFmtId="3" fontId="63" fillId="2" borderId="0" xfId="0" applyNumberFormat="1" applyFont="1" applyFill="1" applyAlignment="1" applyProtection="1">
      <alignment/>
      <protection/>
    </xf>
    <xf numFmtId="0" fontId="63" fillId="2" borderId="0" xfId="0" applyFont="1" applyFill="1" applyAlignment="1" applyProtection="1">
      <alignment horizontal="right"/>
      <protection/>
    </xf>
    <xf numFmtId="165" fontId="63" fillId="2" borderId="0" xfId="0" applyNumberFormat="1" applyFont="1" applyFill="1" applyAlignment="1" applyProtection="1">
      <alignment horizontal="center"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165" fontId="63" fillId="2" borderId="0" xfId="0" applyNumberFormat="1" applyFont="1" applyFill="1" applyAlignment="1" applyProtection="1">
      <alignment horizontal="left"/>
      <protection/>
    </xf>
    <xf numFmtId="3" fontId="63" fillId="2" borderId="0" xfId="0" applyNumberFormat="1" applyFont="1" applyFill="1" applyAlignment="1">
      <alignment/>
    </xf>
    <xf numFmtId="0" fontId="63" fillId="2" borderId="0" xfId="0" applyFont="1" applyFill="1" applyAlignment="1">
      <alignment horizontal="right"/>
    </xf>
    <xf numFmtId="0" fontId="63" fillId="33" borderId="0" xfId="0" applyFont="1" applyFill="1" applyAlignment="1" applyProtection="1">
      <alignment/>
      <protection locked="0"/>
    </xf>
    <xf numFmtId="0" fontId="63" fillId="10" borderId="10" xfId="0" applyFont="1" applyFill="1" applyBorder="1" applyAlignment="1">
      <alignment/>
    </xf>
    <xf numFmtId="3" fontId="68" fillId="10" borderId="31" xfId="0" applyNumberFormat="1" applyFont="1" applyFill="1" applyBorder="1" applyAlignment="1">
      <alignment/>
    </xf>
    <xf numFmtId="3" fontId="63" fillId="10" borderId="31" xfId="0" applyNumberFormat="1" applyFont="1" applyFill="1" applyBorder="1" applyAlignment="1">
      <alignment horizontal="center"/>
    </xf>
    <xf numFmtId="3" fontId="63" fillId="10" borderId="32" xfId="0" applyNumberFormat="1" applyFont="1" applyFill="1" applyBorder="1" applyAlignment="1">
      <alignment horizontal="center"/>
    </xf>
    <xf numFmtId="3" fontId="63" fillId="10" borderId="12" xfId="0" applyNumberFormat="1" applyFont="1" applyFill="1" applyBorder="1" applyAlignment="1">
      <alignment/>
    </xf>
    <xf numFmtId="165" fontId="63" fillId="2" borderId="0" xfId="0" applyNumberFormat="1" applyFont="1" applyFill="1" applyAlignment="1">
      <alignment/>
    </xf>
    <xf numFmtId="0" fontId="63" fillId="10" borderId="13" xfId="0" applyFont="1" applyFill="1" applyBorder="1" applyAlignment="1">
      <alignment/>
    </xf>
    <xf numFmtId="3" fontId="71" fillId="10" borderId="0" xfId="0" applyNumberFormat="1" applyFont="1" applyFill="1" applyBorder="1" applyAlignment="1">
      <alignment horizontal="left" indent="1"/>
    </xf>
    <xf numFmtId="3" fontId="68" fillId="10" borderId="0" xfId="0" applyNumberFormat="1" applyFont="1" applyFill="1" applyBorder="1" applyAlignment="1">
      <alignment/>
    </xf>
    <xf numFmtId="3" fontId="63" fillId="10" borderId="0" xfId="0" applyNumberFormat="1" applyFont="1" applyFill="1" applyBorder="1" applyAlignment="1">
      <alignment horizontal="right"/>
    </xf>
    <xf numFmtId="3" fontId="63" fillId="10" borderId="14" xfId="0" applyNumberFormat="1" applyFont="1" applyFill="1" applyBorder="1" applyAlignment="1">
      <alignment/>
    </xf>
    <xf numFmtId="3" fontId="63" fillId="10" borderId="0" xfId="15" applyNumberFormat="1" applyFont="1" applyFill="1" applyBorder="1" applyAlignment="1">
      <alignment/>
    </xf>
    <xf numFmtId="3" fontId="63" fillId="10" borderId="0" xfId="0" applyNumberFormat="1" applyFont="1" applyFill="1" applyBorder="1" applyAlignment="1">
      <alignment/>
    </xf>
    <xf numFmtId="14" fontId="66" fillId="2" borderId="0" xfId="0" applyNumberFormat="1" applyFont="1" applyFill="1" applyAlignment="1" applyProtection="1">
      <alignment horizontal="left"/>
      <protection/>
    </xf>
    <xf numFmtId="165" fontId="63" fillId="2" borderId="0" xfId="0" applyNumberFormat="1" applyFont="1" applyFill="1" applyAlignment="1" applyProtection="1">
      <alignment/>
      <protection/>
    </xf>
    <xf numFmtId="3" fontId="63" fillId="10" borderId="27" xfId="0" applyNumberFormat="1" applyFont="1" applyFill="1" applyBorder="1" applyAlignment="1">
      <alignment horizontal="left" indent="1"/>
    </xf>
    <xf numFmtId="3" fontId="68" fillId="10" borderId="27" xfId="0" applyNumberFormat="1" applyFont="1" applyFill="1" applyBorder="1" applyAlignment="1">
      <alignment/>
    </xf>
    <xf numFmtId="3" fontId="63" fillId="10" borderId="27" xfId="15" applyNumberFormat="1" applyFont="1" applyFill="1" applyBorder="1" applyAlignment="1">
      <alignment/>
    </xf>
    <xf numFmtId="14" fontId="72" fillId="2" borderId="0" xfId="0" applyNumberFormat="1" applyFont="1" applyFill="1" applyAlignment="1" applyProtection="1">
      <alignment/>
      <protection/>
    </xf>
    <xf numFmtId="3" fontId="64" fillId="10" borderId="29" xfId="0" applyNumberFormat="1" applyFont="1" applyFill="1" applyBorder="1" applyAlignment="1">
      <alignment vertical="center"/>
    </xf>
    <xf numFmtId="3" fontId="73" fillId="10" borderId="29" xfId="0" applyNumberFormat="1" applyFont="1" applyFill="1" applyBorder="1" applyAlignment="1">
      <alignment vertical="center"/>
    </xf>
    <xf numFmtId="0" fontId="63" fillId="33" borderId="0" xfId="0" applyFont="1" applyFill="1" applyBorder="1" applyAlignment="1">
      <alignment/>
    </xf>
    <xf numFmtId="3" fontId="73" fillId="10" borderId="0" xfId="0" applyNumberFormat="1" applyFont="1" applyFill="1" applyBorder="1" applyAlignment="1">
      <alignment/>
    </xf>
    <xf numFmtId="0" fontId="63" fillId="4" borderId="0" xfId="0" applyFont="1" applyFill="1" applyBorder="1" applyAlignment="1">
      <alignment/>
    </xf>
    <xf numFmtId="0" fontId="63" fillId="4" borderId="14" xfId="0" applyFont="1" applyFill="1" applyBorder="1" applyAlignment="1">
      <alignment/>
    </xf>
    <xf numFmtId="3" fontId="63" fillId="33" borderId="0" xfId="0" applyNumberFormat="1" applyFont="1" applyFill="1" applyBorder="1" applyAlignment="1" applyProtection="1">
      <alignment/>
      <protection locked="0"/>
    </xf>
    <xf numFmtId="0" fontId="63" fillId="4" borderId="0" xfId="0" applyFont="1" applyFill="1" applyBorder="1" applyAlignment="1">
      <alignment vertical="center"/>
    </xf>
    <xf numFmtId="9" fontId="63" fillId="4" borderId="0" xfId="57" applyFont="1" applyFill="1" applyBorder="1" applyAlignment="1">
      <alignment vertical="center"/>
    </xf>
    <xf numFmtId="0" fontId="63" fillId="4" borderId="14" xfId="0" applyFont="1" applyFill="1" applyBorder="1" applyAlignment="1">
      <alignment vertical="center"/>
    </xf>
    <xf numFmtId="0" fontId="63" fillId="5" borderId="27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3" fontId="64" fillId="10" borderId="30" xfId="0" applyNumberFormat="1" applyFont="1" applyFill="1" applyBorder="1" applyAlignment="1">
      <alignment vertical="center"/>
    </xf>
    <xf numFmtId="3" fontId="73" fillId="10" borderId="30" xfId="0" applyNumberFormat="1" applyFont="1" applyFill="1" applyBorder="1" applyAlignment="1">
      <alignment vertical="center"/>
    </xf>
    <xf numFmtId="3" fontId="64" fillId="10" borderId="30" xfId="15" applyNumberFormat="1" applyFont="1" applyFill="1" applyBorder="1" applyAlignment="1">
      <alignment vertical="center"/>
    </xf>
    <xf numFmtId="14" fontId="63" fillId="4" borderId="0" xfId="0" applyNumberFormat="1" applyFont="1" applyFill="1" applyBorder="1" applyAlignment="1">
      <alignment/>
    </xf>
    <xf numFmtId="3" fontId="63" fillId="10" borderId="0" xfId="0" applyNumberFormat="1" applyFont="1" applyFill="1" applyBorder="1" applyAlignment="1">
      <alignment horizontal="left" vertical="center" indent="1"/>
    </xf>
    <xf numFmtId="3" fontId="63" fillId="10" borderId="0" xfId="0" applyNumberFormat="1" applyFont="1" applyFill="1" applyBorder="1" applyAlignment="1">
      <alignment vertical="center"/>
    </xf>
    <xf numFmtId="3" fontId="74" fillId="10" borderId="29" xfId="0" applyNumberFormat="1" applyFont="1" applyFill="1" applyBorder="1" applyAlignment="1">
      <alignment vertical="center"/>
    </xf>
    <xf numFmtId="0" fontId="64" fillId="33" borderId="0" xfId="0" applyFont="1" applyFill="1" applyBorder="1" applyAlignment="1">
      <alignment/>
    </xf>
    <xf numFmtId="0" fontId="63" fillId="33" borderId="0" xfId="0" applyFont="1" applyFill="1" applyAlignment="1">
      <alignment/>
    </xf>
    <xf numFmtId="3" fontId="63" fillId="33" borderId="27" xfId="0" applyNumberFormat="1" applyFont="1" applyFill="1" applyBorder="1" applyAlignment="1" applyProtection="1">
      <alignment/>
      <protection locked="0"/>
    </xf>
    <xf numFmtId="3" fontId="64" fillId="10" borderId="30" xfId="0" applyNumberFormat="1" applyFont="1" applyFill="1" applyBorder="1" applyAlignment="1">
      <alignment horizontal="left" vertical="center" indent="1"/>
    </xf>
    <xf numFmtId="0" fontId="63" fillId="4" borderId="29" xfId="0" applyFont="1" applyFill="1" applyBorder="1" applyAlignment="1">
      <alignment/>
    </xf>
    <xf numFmtId="5" fontId="74" fillId="33" borderId="0" xfId="15" applyNumberFormat="1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/>
    </xf>
    <xf numFmtId="0" fontId="71" fillId="0" borderId="0" xfId="0" applyFont="1" applyBorder="1" applyAlignment="1">
      <alignment/>
    </xf>
    <xf numFmtId="0" fontId="63" fillId="10" borderId="33" xfId="0" applyFont="1" applyFill="1" applyBorder="1" applyAlignment="1">
      <alignment/>
    </xf>
    <xf numFmtId="0" fontId="71" fillId="33" borderId="0" xfId="0" applyFont="1" applyFill="1" applyBorder="1" applyAlignment="1">
      <alignment/>
    </xf>
    <xf numFmtId="0" fontId="63" fillId="10" borderId="34" xfId="0" applyFont="1" applyFill="1" applyBorder="1" applyAlignment="1">
      <alignment/>
    </xf>
    <xf numFmtId="9" fontId="74" fillId="33" borderId="0" xfId="57" applyFont="1" applyFill="1" applyBorder="1" applyAlignment="1">
      <alignment horizontal="center" vertical="center"/>
    </xf>
    <xf numFmtId="0" fontId="63" fillId="10" borderId="15" xfId="0" applyFont="1" applyFill="1" applyBorder="1" applyAlignment="1">
      <alignment/>
    </xf>
    <xf numFmtId="3" fontId="63" fillId="10" borderId="17" xfId="0" applyNumberFormat="1" applyFont="1" applyFill="1" applyBorder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3" fontId="69" fillId="0" borderId="0" xfId="0" applyNumberFormat="1" applyFont="1" applyAlignment="1">
      <alignment horizontal="left" vertical="center"/>
    </xf>
    <xf numFmtId="3" fontId="75" fillId="3" borderId="35" xfId="0" applyNumberFormat="1" applyFont="1" applyFill="1" applyBorder="1" applyAlignment="1">
      <alignment/>
    </xf>
    <xf numFmtId="3" fontId="63" fillId="3" borderId="31" xfId="0" applyNumberFormat="1" applyFont="1" applyFill="1" applyBorder="1" applyAlignment="1">
      <alignment/>
    </xf>
    <xf numFmtId="3" fontId="63" fillId="3" borderId="32" xfId="0" applyNumberFormat="1" applyFont="1" applyFill="1" applyBorder="1" applyAlignment="1">
      <alignment horizontal="center"/>
    </xf>
    <xf numFmtId="3" fontId="63" fillId="3" borderId="12" xfId="0" applyNumberFormat="1" applyFont="1" applyFill="1" applyBorder="1" applyAlignment="1">
      <alignment/>
    </xf>
    <xf numFmtId="0" fontId="63" fillId="3" borderId="13" xfId="0" applyFont="1" applyFill="1" applyBorder="1" applyAlignment="1">
      <alignment/>
    </xf>
    <xf numFmtId="3" fontId="63" fillId="3" borderId="0" xfId="0" applyNumberFormat="1" applyFont="1" applyFill="1" applyBorder="1" applyAlignment="1">
      <alignment/>
    </xf>
    <xf numFmtId="3" fontId="63" fillId="3" borderId="14" xfId="0" applyNumberFormat="1" applyFont="1" applyFill="1" applyBorder="1" applyAlignment="1">
      <alignment/>
    </xf>
    <xf numFmtId="3" fontId="63" fillId="3" borderId="0" xfId="0" applyNumberFormat="1" applyFont="1" applyFill="1" applyBorder="1" applyAlignment="1">
      <alignment horizontal="left" indent="1"/>
    </xf>
    <xf numFmtId="3" fontId="68" fillId="3" borderId="0" xfId="0" applyNumberFormat="1" applyFont="1" applyFill="1" applyBorder="1" applyAlignment="1">
      <alignment/>
    </xf>
    <xf numFmtId="3" fontId="63" fillId="3" borderId="27" xfId="0" applyNumberFormat="1" applyFont="1" applyFill="1" applyBorder="1" applyAlignment="1">
      <alignment horizontal="left" indent="1"/>
    </xf>
    <xf numFmtId="3" fontId="68" fillId="3" borderId="27" xfId="0" applyNumberFormat="1" applyFont="1" applyFill="1" applyBorder="1" applyAlignment="1">
      <alignment/>
    </xf>
    <xf numFmtId="3" fontId="63" fillId="3" borderId="27" xfId="15" applyNumberFormat="1" applyFont="1" applyFill="1" applyBorder="1" applyAlignment="1">
      <alignment/>
    </xf>
    <xf numFmtId="0" fontId="64" fillId="0" borderId="0" xfId="0" applyFont="1" applyAlignment="1">
      <alignment/>
    </xf>
    <xf numFmtId="3" fontId="64" fillId="3" borderId="0" xfId="0" applyNumberFormat="1" applyFont="1" applyFill="1" applyBorder="1" applyAlignment="1">
      <alignment horizontal="left" indent="1"/>
    </xf>
    <xf numFmtId="3" fontId="73" fillId="3" borderId="0" xfId="0" applyNumberFormat="1" applyFont="1" applyFill="1" applyBorder="1" applyAlignment="1">
      <alignment/>
    </xf>
    <xf numFmtId="3" fontId="64" fillId="3" borderId="0" xfId="15" applyNumberFormat="1" applyFont="1" applyFill="1" applyBorder="1" applyAlignment="1">
      <alignment/>
    </xf>
    <xf numFmtId="3" fontId="64" fillId="3" borderId="27" xfId="15" applyNumberFormat="1" applyFont="1" applyFill="1" applyBorder="1" applyAlignment="1">
      <alignment/>
    </xf>
    <xf numFmtId="0" fontId="63" fillId="4" borderId="16" xfId="0" applyFont="1" applyFill="1" applyBorder="1" applyAlignment="1">
      <alignment/>
    </xf>
    <xf numFmtId="0" fontId="63" fillId="4" borderId="17" xfId="0" applyFont="1" applyFill="1" applyBorder="1" applyAlignment="1">
      <alignment/>
    </xf>
    <xf numFmtId="3" fontId="64" fillId="3" borderId="29" xfId="0" applyNumberFormat="1" applyFont="1" applyFill="1" applyBorder="1" applyAlignment="1">
      <alignment horizontal="left" vertical="center"/>
    </xf>
    <xf numFmtId="3" fontId="68" fillId="3" borderId="29" xfId="0" applyNumberFormat="1" applyFont="1" applyFill="1" applyBorder="1" applyAlignment="1">
      <alignment vertical="center"/>
    </xf>
    <xf numFmtId="3" fontId="64" fillId="3" borderId="29" xfId="15" applyNumberFormat="1" applyFont="1" applyFill="1" applyBorder="1" applyAlignment="1">
      <alignment vertical="center"/>
    </xf>
    <xf numFmtId="14" fontId="63" fillId="0" borderId="0" xfId="0" applyNumberFormat="1" applyFont="1" applyAlignment="1">
      <alignment/>
    </xf>
    <xf numFmtId="3" fontId="64" fillId="3" borderId="0" xfId="0" applyNumberFormat="1" applyFont="1" applyFill="1" applyBorder="1" applyAlignment="1">
      <alignment/>
    </xf>
    <xf numFmtId="3" fontId="68" fillId="3" borderId="22" xfId="0" applyNumberFormat="1" applyFont="1" applyFill="1" applyBorder="1" applyAlignment="1">
      <alignment/>
    </xf>
    <xf numFmtId="3" fontId="63" fillId="3" borderId="27" xfId="0" applyNumberFormat="1" applyFont="1" applyFill="1" applyBorder="1" applyAlignment="1">
      <alignment/>
    </xf>
    <xf numFmtId="0" fontId="63" fillId="3" borderId="15" xfId="0" applyFont="1" applyFill="1" applyBorder="1" applyAlignment="1">
      <alignment/>
    </xf>
    <xf numFmtId="0" fontId="63" fillId="3" borderId="16" xfId="0" applyFont="1" applyFill="1" applyBorder="1" applyAlignment="1">
      <alignment/>
    </xf>
    <xf numFmtId="0" fontId="63" fillId="3" borderId="17" xfId="0" applyFont="1" applyFill="1" applyBorder="1" applyAlignment="1">
      <alignment/>
    </xf>
    <xf numFmtId="0" fontId="63" fillId="0" borderId="0" xfId="0" applyFont="1" applyAlignment="1">
      <alignment horizontal="right"/>
    </xf>
    <xf numFmtId="0" fontId="64" fillId="4" borderId="0" xfId="0" applyFont="1" applyFill="1" applyBorder="1" applyAlignment="1">
      <alignment/>
    </xf>
    <xf numFmtId="43" fontId="63" fillId="0" borderId="0" xfId="0" applyNumberFormat="1" applyFont="1" applyAlignment="1">
      <alignment/>
    </xf>
    <xf numFmtId="43" fontId="63" fillId="0" borderId="0" xfId="15" applyFont="1" applyAlignment="1">
      <alignment/>
    </xf>
    <xf numFmtId="14" fontId="63" fillId="4" borderId="0" xfId="0" applyNumberFormat="1" applyFont="1" applyFill="1" applyBorder="1" applyAlignment="1">
      <alignment wrapText="1"/>
    </xf>
    <xf numFmtId="14" fontId="63" fillId="4" borderId="13" xfId="0" applyNumberFormat="1" applyFont="1" applyFill="1" applyBorder="1" applyAlignment="1">
      <alignment horizontal="left" indent="1"/>
    </xf>
    <xf numFmtId="3" fontId="64" fillId="4" borderId="29" xfId="0" applyNumberFormat="1" applyFont="1" applyFill="1" applyBorder="1" applyAlignment="1">
      <alignment vertical="center"/>
    </xf>
    <xf numFmtId="0" fontId="63" fillId="4" borderId="29" xfId="0" applyFont="1" applyFill="1" applyBorder="1" applyAlignment="1">
      <alignment vertical="center"/>
    </xf>
    <xf numFmtId="49" fontId="63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63" fillId="33" borderId="0" xfId="0" applyNumberFormat="1" applyFont="1" applyFill="1" applyBorder="1" applyAlignment="1" applyProtection="1">
      <alignment horizontal="center"/>
      <protection locked="0"/>
    </xf>
    <xf numFmtId="0" fontId="63" fillId="2" borderId="0" xfId="0" applyFont="1" applyFill="1" applyAlignment="1">
      <alignment/>
    </xf>
    <xf numFmtId="3" fontId="63" fillId="2" borderId="0" xfId="0" applyNumberFormat="1" applyFont="1" applyFill="1" applyAlignment="1" applyProtection="1">
      <alignment/>
      <protection/>
    </xf>
    <xf numFmtId="0" fontId="63" fillId="2" borderId="0" xfId="0" applyFont="1" applyFill="1" applyAlignment="1" applyProtection="1">
      <alignment/>
      <protection/>
    </xf>
    <xf numFmtId="165" fontId="63" fillId="2" borderId="0" xfId="0" applyNumberFormat="1" applyFont="1" applyFill="1" applyAlignment="1" applyProtection="1">
      <alignment/>
      <protection/>
    </xf>
    <xf numFmtId="0" fontId="63" fillId="10" borderId="13" xfId="0" applyFont="1" applyFill="1" applyBorder="1" applyAlignment="1">
      <alignment/>
    </xf>
    <xf numFmtId="3" fontId="73" fillId="3" borderId="0" xfId="0" applyNumberFormat="1" applyFont="1" applyFill="1" applyBorder="1" applyAlignment="1">
      <alignment vertical="center"/>
    </xf>
    <xf numFmtId="3" fontId="64" fillId="3" borderId="0" xfId="15" applyNumberFormat="1" applyFont="1" applyFill="1" applyBorder="1" applyAlignment="1">
      <alignment vertical="center"/>
    </xf>
    <xf numFmtId="3" fontId="64" fillId="0" borderId="0" xfId="0" applyNumberFormat="1" applyFont="1" applyAlignment="1">
      <alignment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63" fillId="8" borderId="15" xfId="0" applyFont="1" applyFill="1" applyBorder="1" applyAlignment="1">
      <alignment/>
    </xf>
    <xf numFmtId="3" fontId="63" fillId="8" borderId="16" xfId="0" applyNumberFormat="1" applyFont="1" applyFill="1" applyBorder="1" applyAlignment="1">
      <alignment/>
    </xf>
    <xf numFmtId="3" fontId="63" fillId="8" borderId="17" xfId="0" applyNumberFormat="1" applyFont="1" applyFill="1" applyBorder="1" applyAlignment="1">
      <alignment/>
    </xf>
    <xf numFmtId="0" fontId="63" fillId="8" borderId="17" xfId="0" applyFont="1" applyFill="1" applyBorder="1" applyAlignment="1">
      <alignment/>
    </xf>
    <xf numFmtId="49" fontId="74" fillId="8" borderId="13" xfId="0" applyNumberFormat="1" applyFont="1" applyFill="1" applyBorder="1" applyAlignment="1">
      <alignment/>
    </xf>
    <xf numFmtId="3" fontId="74" fillId="8" borderId="0" xfId="0" applyNumberFormat="1" applyFont="1" applyFill="1" applyBorder="1" applyAlignment="1">
      <alignment/>
    </xf>
    <xf numFmtId="0" fontId="74" fillId="8" borderId="0" xfId="0" applyFont="1" applyFill="1" applyBorder="1" applyAlignment="1">
      <alignment/>
    </xf>
    <xf numFmtId="0" fontId="74" fillId="8" borderId="14" xfId="0" applyFont="1" applyFill="1" applyBorder="1" applyAlignment="1">
      <alignment/>
    </xf>
    <xf numFmtId="49" fontId="74" fillId="8" borderId="13" xfId="0" applyNumberFormat="1" applyFont="1" applyFill="1" applyBorder="1" applyAlignment="1">
      <alignment vertical="center"/>
    </xf>
    <xf numFmtId="3" fontId="74" fillId="8" borderId="0" xfId="0" applyNumberFormat="1" applyFont="1" applyFill="1" applyBorder="1" applyAlignment="1">
      <alignment vertical="center"/>
    </xf>
    <xf numFmtId="0" fontId="74" fillId="8" borderId="0" xfId="0" applyFont="1" applyFill="1" applyBorder="1" applyAlignment="1">
      <alignment vertical="center"/>
    </xf>
    <xf numFmtId="0" fontId="74" fillId="8" borderId="14" xfId="0" applyFont="1" applyFill="1" applyBorder="1" applyAlignment="1">
      <alignment vertical="center"/>
    </xf>
    <xf numFmtId="3" fontId="74" fillId="8" borderId="14" xfId="0" applyNumberFormat="1" applyFont="1" applyFill="1" applyBorder="1" applyAlignment="1">
      <alignment vertical="center"/>
    </xf>
    <xf numFmtId="0" fontId="63" fillId="4" borderId="0" xfId="0" applyFont="1" applyFill="1" applyAlignment="1">
      <alignment/>
    </xf>
    <xf numFmtId="0" fontId="64" fillId="10" borderId="36" xfId="0" applyFont="1" applyFill="1" applyBorder="1" applyAlignment="1">
      <alignment vertical="center"/>
    </xf>
    <xf numFmtId="0" fontId="64" fillId="10" borderId="16" xfId="0" applyFont="1" applyFill="1" applyBorder="1" applyAlignment="1">
      <alignment vertical="center"/>
    </xf>
    <xf numFmtId="0" fontId="64" fillId="10" borderId="37" xfId="0" applyFont="1" applyFill="1" applyBorder="1" applyAlignment="1">
      <alignment vertical="center"/>
    </xf>
    <xf numFmtId="0" fontId="0" fillId="0" borderId="13" xfId="0" applyBorder="1" applyAlignment="1">
      <alignment wrapText="1"/>
    </xf>
    <xf numFmtId="3" fontId="64" fillId="10" borderId="0" xfId="0" applyNumberFormat="1" applyFont="1" applyFill="1" applyBorder="1" applyAlignment="1">
      <alignment vertical="center"/>
    </xf>
    <xf numFmtId="3" fontId="73" fillId="10" borderId="0" xfId="0" applyNumberFormat="1" applyFont="1" applyFill="1" applyBorder="1" applyAlignment="1">
      <alignment vertical="center"/>
    </xf>
    <xf numFmtId="3" fontId="73" fillId="10" borderId="38" xfId="0" applyNumberFormat="1" applyFont="1" applyFill="1" applyBorder="1" applyAlignment="1">
      <alignment vertical="center"/>
    </xf>
    <xf numFmtId="43" fontId="63" fillId="33" borderId="0" xfId="15" applyFont="1" applyFill="1" applyBorder="1" applyAlignment="1" applyProtection="1">
      <alignment vertical="center"/>
      <protection locked="0"/>
    </xf>
    <xf numFmtId="167" fontId="71" fillId="10" borderId="0" xfId="15" applyNumberFormat="1" applyFont="1" applyFill="1" applyBorder="1" applyAlignment="1">
      <alignment horizontal="left" indent="1"/>
    </xf>
    <xf numFmtId="0" fontId="64" fillId="4" borderId="29" xfId="0" applyFont="1" applyFill="1" applyBorder="1" applyAlignment="1">
      <alignment/>
    </xf>
    <xf numFmtId="167" fontId="63" fillId="10" borderId="0" xfId="15" applyNumberFormat="1" applyFont="1" applyFill="1" applyBorder="1" applyAlignment="1">
      <alignment horizontal="right"/>
    </xf>
    <xf numFmtId="14" fontId="66" fillId="0" borderId="0" xfId="0" applyNumberFormat="1" applyFont="1" applyAlignment="1">
      <alignment vertical="center"/>
    </xf>
    <xf numFmtId="3" fontId="63" fillId="0" borderId="0" xfId="0" applyNumberFormat="1" applyFont="1" applyBorder="1" applyAlignment="1">
      <alignment vertical="center"/>
    </xf>
    <xf numFmtId="3" fontId="63" fillId="0" borderId="0" xfId="0" applyNumberFormat="1" applyFont="1" applyAlignment="1">
      <alignment vertical="center"/>
    </xf>
    <xf numFmtId="0" fontId="63" fillId="10" borderId="13" xfId="0" applyFont="1" applyFill="1" applyBorder="1" applyAlignment="1">
      <alignment vertical="center"/>
    </xf>
    <xf numFmtId="3" fontId="68" fillId="10" borderId="0" xfId="0" applyNumberFormat="1" applyFont="1" applyFill="1" applyBorder="1" applyAlignment="1">
      <alignment vertical="center"/>
    </xf>
    <xf numFmtId="3" fontId="63" fillId="10" borderId="0" xfId="15" applyNumberFormat="1" applyFont="1" applyFill="1" applyBorder="1" applyAlignment="1">
      <alignment vertical="center"/>
    </xf>
    <xf numFmtId="3" fontId="63" fillId="10" borderId="14" xfId="0" applyNumberFormat="1" applyFont="1" applyFill="1" applyBorder="1" applyAlignment="1">
      <alignment vertical="center"/>
    </xf>
    <xf numFmtId="0" fontId="63" fillId="2" borderId="0" xfId="0" applyFont="1" applyFill="1" applyAlignment="1">
      <alignment vertical="center"/>
    </xf>
    <xf numFmtId="0" fontId="63" fillId="2" borderId="0" xfId="0" applyFont="1" applyFill="1" applyAlignment="1" applyProtection="1">
      <alignment vertical="center"/>
      <protection/>
    </xf>
    <xf numFmtId="3" fontId="63" fillId="2" borderId="0" xfId="0" applyNumberFormat="1" applyFont="1" applyFill="1" applyAlignment="1" applyProtection="1">
      <alignment vertical="center"/>
      <protection/>
    </xf>
    <xf numFmtId="165" fontId="63" fillId="2" borderId="0" xfId="0" applyNumberFormat="1" applyFont="1" applyFill="1" applyAlignment="1" applyProtection="1">
      <alignment vertical="center"/>
      <protection/>
    </xf>
    <xf numFmtId="3" fontId="64" fillId="10" borderId="0" xfId="0" applyNumberFormat="1" applyFont="1" applyFill="1" applyBorder="1" applyAlignment="1">
      <alignment horizontal="left" vertical="center"/>
    </xf>
    <xf numFmtId="3" fontId="64" fillId="10" borderId="0" xfId="15" applyNumberFormat="1" applyFont="1" applyFill="1" applyBorder="1" applyAlignment="1">
      <alignment vertical="center"/>
    </xf>
    <xf numFmtId="3" fontId="64" fillId="33" borderId="0" xfId="0" applyNumberFormat="1" applyFont="1" applyFill="1" applyBorder="1" applyAlignment="1" applyProtection="1">
      <alignment vertical="center"/>
      <protection locked="0"/>
    </xf>
    <xf numFmtId="0" fontId="64" fillId="4" borderId="0" xfId="0" applyFont="1" applyFill="1" applyBorder="1" applyAlignment="1">
      <alignment vertical="center"/>
    </xf>
    <xf numFmtId="0" fontId="64" fillId="4" borderId="14" xfId="0" applyFont="1" applyFill="1" applyBorder="1" applyAlignment="1">
      <alignment vertical="center"/>
    </xf>
    <xf numFmtId="167" fontId="63" fillId="0" borderId="22" xfId="15" applyNumberFormat="1" applyFont="1" applyBorder="1" applyAlignment="1">
      <alignment/>
    </xf>
    <xf numFmtId="0" fontId="63" fillId="0" borderId="24" xfId="0" applyFont="1" applyBorder="1" applyAlignment="1">
      <alignment horizontal="left" indent="1"/>
    </xf>
    <xf numFmtId="0" fontId="63" fillId="0" borderId="21" xfId="0" applyFont="1" applyBorder="1" applyAlignment="1">
      <alignment/>
    </xf>
    <xf numFmtId="5" fontId="63" fillId="0" borderId="27" xfId="15" applyNumberFormat="1" applyFont="1" applyBorder="1" applyAlignment="1">
      <alignment/>
    </xf>
    <xf numFmtId="5" fontId="63" fillId="0" borderId="28" xfId="15" applyNumberFormat="1" applyFont="1" applyBorder="1" applyAlignment="1">
      <alignment/>
    </xf>
    <xf numFmtId="0" fontId="76" fillId="8" borderId="13" xfId="0" applyFont="1" applyFill="1" applyBorder="1" applyAlignment="1">
      <alignment horizontal="left" vertical="center" wrapText="1"/>
    </xf>
    <xf numFmtId="0" fontId="76" fillId="8" borderId="0" xfId="0" applyFont="1" applyFill="1" applyBorder="1" applyAlignment="1">
      <alignment horizontal="left" vertical="center" wrapText="1"/>
    </xf>
    <xf numFmtId="0" fontId="76" fillId="8" borderId="14" xfId="0" applyFont="1" applyFill="1" applyBorder="1" applyAlignment="1">
      <alignment horizontal="left" vertical="center" wrapText="1"/>
    </xf>
    <xf numFmtId="0" fontId="77" fillId="0" borderId="0" xfId="0" applyFont="1" applyAlignment="1">
      <alignment/>
    </xf>
    <xf numFmtId="0" fontId="63" fillId="0" borderId="26" xfId="0" applyFont="1" applyBorder="1" applyAlignment="1">
      <alignment/>
    </xf>
    <xf numFmtId="0" fontId="63" fillId="0" borderId="39" xfId="0" applyFont="1" applyBorder="1" applyAlignment="1">
      <alignment/>
    </xf>
    <xf numFmtId="167" fontId="63" fillId="0" borderId="40" xfId="15" applyNumberFormat="1" applyFont="1" applyBorder="1" applyAlignment="1">
      <alignment/>
    </xf>
    <xf numFmtId="5" fontId="63" fillId="0" borderId="22" xfId="15" applyNumberFormat="1" applyFont="1" applyBorder="1" applyAlignment="1">
      <alignment/>
    </xf>
    <xf numFmtId="5" fontId="63" fillId="0" borderId="23" xfId="15" applyNumberFormat="1" applyFont="1" applyBorder="1" applyAlignment="1">
      <alignment/>
    </xf>
    <xf numFmtId="5" fontId="63" fillId="0" borderId="0" xfId="15" applyNumberFormat="1" applyFont="1" applyAlignment="1">
      <alignment/>
    </xf>
    <xf numFmtId="5" fontId="63" fillId="0" borderId="40" xfId="15" applyNumberFormat="1" applyFont="1" applyBorder="1" applyAlignment="1">
      <alignment/>
    </xf>
    <xf numFmtId="5" fontId="63" fillId="0" borderId="41" xfId="15" applyNumberFormat="1" applyFont="1" applyBorder="1" applyAlignment="1">
      <alignment/>
    </xf>
    <xf numFmtId="0" fontId="78" fillId="0" borderId="0" xfId="0" applyFont="1" applyAlignment="1">
      <alignment/>
    </xf>
    <xf numFmtId="0" fontId="63" fillId="4" borderId="42" xfId="0" applyFont="1" applyFill="1" applyBorder="1" applyAlignment="1">
      <alignment horizontal="right"/>
    </xf>
    <xf numFmtId="167" fontId="63" fillId="4" borderId="29" xfId="15" applyNumberFormat="1" applyFont="1" applyFill="1" applyBorder="1" applyAlignment="1">
      <alignment/>
    </xf>
    <xf numFmtId="3" fontId="68" fillId="10" borderId="27" xfId="0" applyNumberFormat="1" applyFont="1" applyFill="1" applyBorder="1" applyAlignment="1">
      <alignment vertical="center"/>
    </xf>
    <xf numFmtId="3" fontId="63" fillId="33" borderId="0" xfId="0" applyNumberFormat="1" applyFont="1" applyFill="1" applyBorder="1" applyAlignment="1" applyProtection="1">
      <alignment vertical="center"/>
      <protection locked="0"/>
    </xf>
    <xf numFmtId="0" fontId="63" fillId="5" borderId="13" xfId="0" applyFont="1" applyFill="1" applyBorder="1" applyAlignment="1">
      <alignment vertical="center"/>
    </xf>
    <xf numFmtId="3" fontId="63" fillId="5" borderId="0" xfId="0" applyNumberFormat="1" applyFont="1" applyFill="1" applyBorder="1" applyAlignment="1">
      <alignment vertical="center"/>
    </xf>
    <xf numFmtId="0" fontId="63" fillId="5" borderId="0" xfId="0" applyFont="1" applyFill="1" applyBorder="1" applyAlignment="1">
      <alignment vertical="center"/>
    </xf>
    <xf numFmtId="0" fontId="63" fillId="5" borderId="14" xfId="0" applyFont="1" applyFill="1" applyBorder="1" applyAlignment="1">
      <alignment vertical="center"/>
    </xf>
    <xf numFmtId="3" fontId="63" fillId="33" borderId="27" xfId="0" applyNumberFormat="1" applyFont="1" applyFill="1" applyBorder="1" applyAlignment="1" applyProtection="1">
      <alignment vertical="center"/>
      <protection locked="0"/>
    </xf>
    <xf numFmtId="0" fontId="63" fillId="4" borderId="27" xfId="0" applyFont="1" applyFill="1" applyBorder="1" applyAlignment="1">
      <alignment vertical="center"/>
    </xf>
    <xf numFmtId="3" fontId="63" fillId="5" borderId="13" xfId="0" applyNumberFormat="1" applyFont="1" applyFill="1" applyBorder="1" applyAlignment="1">
      <alignment vertical="center"/>
    </xf>
    <xf numFmtId="3" fontId="64" fillId="4" borderId="29" xfId="0" applyNumberFormat="1" applyFont="1" applyFill="1" applyBorder="1" applyAlignment="1" applyProtection="1">
      <alignment vertical="center"/>
      <protection/>
    </xf>
    <xf numFmtId="0" fontId="64" fillId="4" borderId="29" xfId="0" applyFont="1" applyFill="1" applyBorder="1" applyAlignment="1">
      <alignment vertical="center"/>
    </xf>
    <xf numFmtId="0" fontId="64" fillId="4" borderId="43" xfId="0" applyFont="1" applyFill="1" applyBorder="1" applyAlignment="1">
      <alignment vertical="center"/>
    </xf>
    <xf numFmtId="14" fontId="64" fillId="4" borderId="0" xfId="0" applyNumberFormat="1" applyFont="1" applyFill="1" applyBorder="1" applyAlignment="1">
      <alignment vertical="center"/>
    </xf>
    <xf numFmtId="14" fontId="63" fillId="4" borderId="0" xfId="0" applyNumberFormat="1" applyFont="1" applyFill="1" applyBorder="1" applyAlignment="1">
      <alignment vertical="center" wrapText="1"/>
    </xf>
    <xf numFmtId="9" fontId="64" fillId="4" borderId="0" xfId="57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7" fontId="63" fillId="10" borderId="0" xfId="15" applyNumberFormat="1" applyFont="1" applyFill="1" applyBorder="1" applyAlignment="1">
      <alignment horizontal="right" vertical="center"/>
    </xf>
    <xf numFmtId="167" fontId="63" fillId="10" borderId="0" xfId="15" applyNumberFormat="1" applyFont="1" applyFill="1" applyBorder="1" applyAlignment="1">
      <alignment vertical="center"/>
    </xf>
    <xf numFmtId="167" fontId="64" fillId="10" borderId="0" xfId="15" applyNumberFormat="1" applyFont="1" applyFill="1" applyBorder="1" applyAlignment="1">
      <alignment vertical="center"/>
    </xf>
    <xf numFmtId="167" fontId="64" fillId="10" borderId="38" xfId="15" applyNumberFormat="1" applyFont="1" applyFill="1" applyBorder="1" applyAlignment="1">
      <alignment vertical="center"/>
    </xf>
    <xf numFmtId="167" fontId="64" fillId="10" borderId="0" xfId="15" applyNumberFormat="1" applyFont="1" applyFill="1" applyBorder="1" applyAlignment="1">
      <alignment/>
    </xf>
    <xf numFmtId="167" fontId="64" fillId="10" borderId="30" xfId="15" applyNumberFormat="1" applyFont="1" applyFill="1" applyBorder="1" applyAlignment="1">
      <alignment vertical="center"/>
    </xf>
    <xf numFmtId="167" fontId="63" fillId="3" borderId="32" xfId="15" applyNumberFormat="1" applyFont="1" applyFill="1" applyBorder="1" applyAlignment="1">
      <alignment horizontal="center"/>
    </xf>
    <xf numFmtId="167" fontId="63" fillId="3" borderId="0" xfId="15" applyNumberFormat="1" applyFont="1" applyFill="1" applyBorder="1" applyAlignment="1">
      <alignment/>
    </xf>
    <xf numFmtId="167" fontId="63" fillId="7" borderId="0" xfId="15" applyNumberFormat="1" applyFont="1" applyFill="1" applyBorder="1" applyAlignment="1">
      <alignment vertical="center"/>
    </xf>
    <xf numFmtId="167" fontId="63" fillId="3" borderId="27" xfId="15" applyNumberFormat="1" applyFont="1" applyFill="1" applyBorder="1" applyAlignment="1">
      <alignment/>
    </xf>
    <xf numFmtId="167" fontId="64" fillId="3" borderId="0" xfId="15" applyNumberFormat="1" applyFont="1" applyFill="1" applyBorder="1" applyAlignment="1">
      <alignment/>
    </xf>
    <xf numFmtId="167" fontId="64" fillId="3" borderId="27" xfId="15" applyNumberFormat="1" applyFont="1" applyFill="1" applyBorder="1" applyAlignment="1">
      <alignment/>
    </xf>
    <xf numFmtId="167" fontId="64" fillId="3" borderId="29" xfId="15" applyNumberFormat="1" applyFont="1" applyFill="1" applyBorder="1" applyAlignment="1">
      <alignment vertical="center"/>
    </xf>
    <xf numFmtId="167" fontId="64" fillId="3" borderId="22" xfId="15" applyNumberFormat="1" applyFont="1" applyFill="1" applyBorder="1" applyAlignment="1">
      <alignment/>
    </xf>
    <xf numFmtId="167" fontId="64" fillId="3" borderId="23" xfId="15" applyNumberFormat="1" applyFont="1" applyFill="1" applyBorder="1" applyAlignment="1">
      <alignment/>
    </xf>
    <xf numFmtId="167" fontId="64" fillId="3" borderId="28" xfId="15" applyNumberFormat="1" applyFont="1" applyFill="1" applyBorder="1" applyAlignment="1">
      <alignment/>
    </xf>
    <xf numFmtId="167" fontId="63" fillId="10" borderId="0" xfId="15" applyNumberFormat="1" applyFont="1" applyFill="1" applyBorder="1" applyAlignment="1">
      <alignment/>
    </xf>
    <xf numFmtId="0" fontId="63" fillId="4" borderId="0" xfId="0" applyFont="1" applyFill="1" applyBorder="1" applyAlignment="1">
      <alignment horizontal="center" vertical="center"/>
    </xf>
    <xf numFmtId="0" fontId="63" fillId="33" borderId="0" xfId="0" applyFont="1" applyFill="1" applyAlignment="1">
      <alignment vertical="center"/>
    </xf>
    <xf numFmtId="0" fontId="63" fillId="3" borderId="10" xfId="0" applyFont="1" applyFill="1" applyBorder="1" applyAlignment="1">
      <alignment vertical="center"/>
    </xf>
    <xf numFmtId="167" fontId="63" fillId="0" borderId="0" xfId="15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75" fillId="3" borderId="44" xfId="0" applyNumberFormat="1" applyFont="1" applyFill="1" applyBorder="1" applyAlignment="1">
      <alignment/>
    </xf>
    <xf numFmtId="3" fontId="63" fillId="3" borderId="13" xfId="0" applyNumberFormat="1" applyFont="1" applyFill="1" applyBorder="1" applyAlignment="1">
      <alignment horizontal="left" indent="1"/>
    </xf>
    <xf numFmtId="3" fontId="63" fillId="3" borderId="33" xfId="0" applyNumberFormat="1" applyFont="1" applyFill="1" applyBorder="1" applyAlignment="1">
      <alignment horizontal="left" indent="1"/>
    </xf>
    <xf numFmtId="3" fontId="64" fillId="3" borderId="13" xfId="0" applyNumberFormat="1" applyFont="1" applyFill="1" applyBorder="1" applyAlignment="1">
      <alignment horizontal="left" indent="1"/>
    </xf>
    <xf numFmtId="3" fontId="64" fillId="3" borderId="34" xfId="0" applyNumberFormat="1" applyFont="1" applyFill="1" applyBorder="1" applyAlignment="1">
      <alignment horizontal="left" vertical="center"/>
    </xf>
    <xf numFmtId="3" fontId="64" fillId="3" borderId="15" xfId="0" applyNumberFormat="1" applyFont="1" applyFill="1" applyBorder="1" applyAlignment="1">
      <alignment/>
    </xf>
    <xf numFmtId="3" fontId="68" fillId="3" borderId="16" xfId="0" applyNumberFormat="1" applyFont="1" applyFill="1" applyBorder="1" applyAlignment="1">
      <alignment/>
    </xf>
    <xf numFmtId="167" fontId="64" fillId="3" borderId="16" xfId="15" applyNumberFormat="1" applyFont="1" applyFill="1" applyBorder="1" applyAlignment="1">
      <alignment/>
    </xf>
    <xf numFmtId="3" fontId="63" fillId="3" borderId="17" xfId="0" applyNumberFormat="1" applyFont="1" applyFill="1" applyBorder="1" applyAlignment="1">
      <alignment/>
    </xf>
    <xf numFmtId="3" fontId="63" fillId="10" borderId="45" xfId="0" applyNumberFormat="1" applyFont="1" applyFill="1" applyBorder="1" applyAlignment="1">
      <alignment/>
    </xf>
    <xf numFmtId="3" fontId="64" fillId="3" borderId="13" xfId="0" applyNumberFormat="1" applyFont="1" applyFill="1" applyBorder="1" applyAlignment="1">
      <alignment/>
    </xf>
    <xf numFmtId="3" fontId="64" fillId="3" borderId="46" xfId="0" applyNumberFormat="1" applyFont="1" applyFill="1" applyBorder="1" applyAlignment="1">
      <alignment horizontal="left" indent="1"/>
    </xf>
    <xf numFmtId="3" fontId="64" fillId="3" borderId="33" xfId="0" applyNumberFormat="1" applyFont="1" applyFill="1" applyBorder="1" applyAlignment="1">
      <alignment horizontal="left" indent="1"/>
    </xf>
    <xf numFmtId="167" fontId="63" fillId="3" borderId="0" xfId="15" applyNumberFormat="1" applyFont="1" applyFill="1" applyBorder="1" applyAlignment="1">
      <alignment vertical="center"/>
    </xf>
    <xf numFmtId="3" fontId="79" fillId="0" borderId="0" xfId="0" applyNumberFormat="1" applyFont="1" applyAlignment="1">
      <alignment horizontal="left" vertical="center"/>
    </xf>
    <xf numFmtId="0" fontId="79" fillId="0" borderId="0" xfId="0" applyFont="1" applyAlignment="1">
      <alignment/>
    </xf>
    <xf numFmtId="3" fontId="64" fillId="3" borderId="13" xfId="0" applyNumberFormat="1" applyFont="1" applyFill="1" applyBorder="1" applyAlignment="1">
      <alignment horizontal="left" vertical="center"/>
    </xf>
    <xf numFmtId="3" fontId="64" fillId="3" borderId="16" xfId="15" applyNumberFormat="1" applyFont="1" applyFill="1" applyBorder="1" applyAlignment="1">
      <alignment/>
    </xf>
    <xf numFmtId="0" fontId="63" fillId="0" borderId="0" xfId="0" applyFont="1" applyAlignment="1">
      <alignment horizontal="left" indent="1"/>
    </xf>
    <xf numFmtId="167" fontId="63" fillId="0" borderId="0" xfId="15" applyNumberFormat="1" applyFont="1" applyAlignment="1">
      <alignment horizontal="left" indent="2"/>
    </xf>
    <xf numFmtId="3" fontId="63" fillId="0" borderId="0" xfId="0" applyNumberFormat="1" applyFont="1" applyAlignment="1">
      <alignment horizontal="left" indent="2"/>
    </xf>
    <xf numFmtId="0" fontId="64" fillId="4" borderId="0" xfId="0" applyFont="1" applyFill="1" applyAlignment="1">
      <alignment/>
    </xf>
    <xf numFmtId="3" fontId="63" fillId="4" borderId="0" xfId="0" applyNumberFormat="1" applyFont="1" applyFill="1" applyAlignment="1">
      <alignment/>
    </xf>
    <xf numFmtId="3" fontId="63" fillId="4" borderId="29" xfId="0" applyNumberFormat="1" applyFont="1" applyFill="1" applyBorder="1" applyAlignment="1">
      <alignment/>
    </xf>
    <xf numFmtId="167" fontId="63" fillId="4" borderId="29" xfId="0" applyNumberFormat="1" applyFont="1" applyFill="1" applyBorder="1" applyAlignment="1">
      <alignment/>
    </xf>
    <xf numFmtId="10" fontId="63" fillId="33" borderId="0" xfId="0" applyNumberFormat="1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Border="1" applyAlignment="1">
      <alignment horizontal="right" vertical="center"/>
    </xf>
    <xf numFmtId="3" fontId="64" fillId="4" borderId="29" xfId="0" applyNumberFormat="1" applyFont="1" applyFill="1" applyBorder="1" applyAlignment="1">
      <alignment horizontal="center"/>
    </xf>
    <xf numFmtId="9" fontId="64" fillId="33" borderId="0" xfId="0" applyNumberFormat="1" applyFont="1" applyFill="1" applyBorder="1" applyAlignment="1" applyProtection="1">
      <alignment horizontal="center" vertical="center"/>
      <protection locked="0"/>
    </xf>
    <xf numFmtId="14" fontId="80" fillId="4" borderId="0" xfId="0" applyNumberFormat="1" applyFont="1" applyFill="1" applyBorder="1" applyAlignment="1">
      <alignment horizontal="left" vertical="center"/>
    </xf>
    <xf numFmtId="14" fontId="80" fillId="4" borderId="14" xfId="0" applyNumberFormat="1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77" fillId="4" borderId="39" xfId="0" applyFont="1" applyFill="1" applyBorder="1" applyAlignment="1">
      <alignment/>
    </xf>
    <xf numFmtId="0" fontId="81" fillId="0" borderId="0" xfId="0" applyFont="1" applyAlignment="1">
      <alignment/>
    </xf>
    <xf numFmtId="0" fontId="64" fillId="4" borderId="0" xfId="0" applyFont="1" applyFill="1" applyAlignment="1">
      <alignment vertical="top"/>
    </xf>
    <xf numFmtId="0" fontId="63" fillId="4" borderId="0" xfId="0" applyFont="1" applyFill="1" applyAlignment="1">
      <alignment vertical="top"/>
    </xf>
    <xf numFmtId="0" fontId="63" fillId="4" borderId="0" xfId="0" applyFont="1" applyFill="1" applyAlignment="1">
      <alignment vertical="top" wrapText="1"/>
    </xf>
    <xf numFmtId="0" fontId="63" fillId="4" borderId="39" xfId="0" applyFont="1" applyFill="1" applyBorder="1" applyAlignment="1">
      <alignment horizontal="left" vertical="center"/>
    </xf>
    <xf numFmtId="0" fontId="63" fillId="4" borderId="40" xfId="0" applyFont="1" applyFill="1" applyBorder="1" applyAlignment="1">
      <alignment horizontal="left" vertical="center"/>
    </xf>
    <xf numFmtId="0" fontId="63" fillId="4" borderId="41" xfId="0" applyFont="1" applyFill="1" applyBorder="1" applyAlignment="1">
      <alignment horizontal="left" vertical="center"/>
    </xf>
    <xf numFmtId="0" fontId="63" fillId="0" borderId="39" xfId="0" applyFont="1" applyBorder="1" applyAlignment="1" applyProtection="1">
      <alignment horizontal="center" vertical="center"/>
      <protection locked="0"/>
    </xf>
    <xf numFmtId="43" fontId="63" fillId="4" borderId="0" xfId="15" applyFont="1" applyFill="1" applyBorder="1" applyAlignment="1" applyProtection="1">
      <alignment vertical="center"/>
      <protection/>
    </xf>
    <xf numFmtId="9" fontId="63" fillId="4" borderId="0" xfId="57" applyNumberFormat="1" applyFont="1" applyFill="1" applyBorder="1" applyAlignment="1">
      <alignment horizontal="center" vertical="center"/>
    </xf>
    <xf numFmtId="9" fontId="64" fillId="4" borderId="29" xfId="57" applyNumberFormat="1" applyFont="1" applyFill="1" applyBorder="1" applyAlignment="1">
      <alignment horizontal="center" vertical="center"/>
    </xf>
    <xf numFmtId="9" fontId="64" fillId="4" borderId="0" xfId="57" applyNumberFormat="1" applyFont="1" applyFill="1" applyBorder="1" applyAlignment="1">
      <alignment horizontal="center" vertical="center"/>
    </xf>
    <xf numFmtId="3" fontId="63" fillId="3" borderId="13" xfId="0" applyNumberFormat="1" applyFont="1" applyFill="1" applyBorder="1" applyAlignment="1">
      <alignment horizontal="left" vertical="center"/>
    </xf>
    <xf numFmtId="3" fontId="68" fillId="3" borderId="0" xfId="0" applyNumberFormat="1" applyFont="1" applyFill="1" applyBorder="1" applyAlignment="1">
      <alignment vertical="center"/>
    </xf>
    <xf numFmtId="167" fontId="63" fillId="5" borderId="0" xfId="0" applyNumberFormat="1" applyFont="1" applyFill="1" applyBorder="1" applyAlignment="1">
      <alignment vertical="center"/>
    </xf>
    <xf numFmtId="3" fontId="63" fillId="3" borderId="13" xfId="0" applyNumberFormat="1" applyFont="1" applyFill="1" applyBorder="1" applyAlignment="1">
      <alignment horizontal="left" indent="2"/>
    </xf>
    <xf numFmtId="3" fontId="63" fillId="3" borderId="33" xfId="0" applyNumberFormat="1" applyFont="1" applyFill="1" applyBorder="1" applyAlignment="1">
      <alignment horizontal="left" indent="2"/>
    </xf>
    <xf numFmtId="3" fontId="75" fillId="3" borderId="13" xfId="0" applyNumberFormat="1" applyFont="1" applyFill="1" applyBorder="1" applyAlignment="1">
      <alignment vertical="top"/>
    </xf>
    <xf numFmtId="3" fontId="68" fillId="10" borderId="47" xfId="0" applyNumberFormat="1" applyFont="1" applyFill="1" applyBorder="1" applyAlignment="1">
      <alignment/>
    </xf>
    <xf numFmtId="3" fontId="63" fillId="10" borderId="47" xfId="0" applyNumberFormat="1" applyFont="1" applyFill="1" applyBorder="1" applyAlignment="1">
      <alignment horizontal="center"/>
    </xf>
    <xf numFmtId="3" fontId="63" fillId="10" borderId="48" xfId="0" applyNumberFormat="1" applyFont="1" applyFill="1" applyBorder="1" applyAlignment="1">
      <alignment horizontal="center"/>
    </xf>
    <xf numFmtId="3" fontId="71" fillId="10" borderId="10" xfId="0" applyNumberFormat="1" applyFont="1" applyFill="1" applyBorder="1" applyAlignment="1">
      <alignment horizontal="left" indent="1"/>
    </xf>
    <xf numFmtId="3" fontId="68" fillId="10" borderId="11" xfId="0" applyNumberFormat="1" applyFont="1" applyFill="1" applyBorder="1" applyAlignment="1">
      <alignment/>
    </xf>
    <xf numFmtId="3" fontId="63" fillId="10" borderId="11" xfId="0" applyNumberFormat="1" applyFont="1" applyFill="1" applyBorder="1" applyAlignment="1">
      <alignment horizontal="right"/>
    </xf>
    <xf numFmtId="3" fontId="71" fillId="10" borderId="13" xfId="0" applyNumberFormat="1" applyFont="1" applyFill="1" applyBorder="1" applyAlignment="1">
      <alignment horizontal="left" indent="1"/>
    </xf>
    <xf numFmtId="3" fontId="63" fillId="10" borderId="13" xfId="0" applyNumberFormat="1" applyFont="1" applyFill="1" applyBorder="1" applyAlignment="1">
      <alignment horizontal="left" indent="1"/>
    </xf>
    <xf numFmtId="3" fontId="63" fillId="10" borderId="33" xfId="0" applyNumberFormat="1" applyFont="1" applyFill="1" applyBorder="1" applyAlignment="1">
      <alignment horizontal="left" indent="1"/>
    </xf>
    <xf numFmtId="3" fontId="64" fillId="10" borderId="13" xfId="0" applyNumberFormat="1" applyFont="1" applyFill="1" applyBorder="1" applyAlignment="1">
      <alignment horizontal="left" vertical="center"/>
    </xf>
    <xf numFmtId="3" fontId="63" fillId="10" borderId="13" xfId="0" applyNumberFormat="1" applyFont="1" applyFill="1" applyBorder="1" applyAlignment="1">
      <alignment horizontal="left" vertical="center"/>
    </xf>
    <xf numFmtId="3" fontId="64" fillId="10" borderId="34" xfId="0" applyNumberFormat="1" applyFont="1" applyFill="1" applyBorder="1" applyAlignment="1">
      <alignment vertical="center"/>
    </xf>
    <xf numFmtId="3" fontId="64" fillId="10" borderId="13" xfId="0" applyNumberFormat="1" applyFont="1" applyFill="1" applyBorder="1" applyAlignment="1">
      <alignment vertical="center"/>
    </xf>
    <xf numFmtId="3" fontId="65" fillId="10" borderId="13" xfId="0" applyNumberFormat="1" applyFont="1" applyFill="1" applyBorder="1" applyAlignment="1">
      <alignment/>
    </xf>
    <xf numFmtId="3" fontId="64" fillId="10" borderId="36" xfId="0" applyNumberFormat="1" applyFont="1" applyFill="1" applyBorder="1" applyAlignment="1">
      <alignment vertical="center"/>
    </xf>
    <xf numFmtId="3" fontId="63" fillId="10" borderId="13" xfId="0" applyNumberFormat="1" applyFont="1" applyFill="1" applyBorder="1" applyAlignment="1">
      <alignment horizontal="left" vertical="center" indent="1"/>
    </xf>
    <xf numFmtId="3" fontId="74" fillId="10" borderId="34" xfId="0" applyNumberFormat="1" applyFont="1" applyFill="1" applyBorder="1" applyAlignment="1">
      <alignment vertical="center"/>
    </xf>
    <xf numFmtId="3" fontId="64" fillId="10" borderId="36" xfId="0" applyNumberFormat="1" applyFont="1" applyFill="1" applyBorder="1" applyAlignment="1">
      <alignment horizontal="left" vertical="center" indent="1"/>
    </xf>
    <xf numFmtId="3" fontId="64" fillId="10" borderId="36" xfId="0" applyNumberFormat="1" applyFont="1" applyFill="1" applyBorder="1" applyAlignment="1">
      <alignment horizontal="left" vertical="center"/>
    </xf>
    <xf numFmtId="3" fontId="63" fillId="10" borderId="13" xfId="0" applyNumberFormat="1" applyFont="1" applyFill="1" applyBorder="1" applyAlignment="1">
      <alignment/>
    </xf>
    <xf numFmtId="3" fontId="74" fillId="10" borderId="36" xfId="0" applyNumberFormat="1" applyFont="1" applyFill="1" applyBorder="1" applyAlignment="1">
      <alignment vertical="center"/>
    </xf>
    <xf numFmtId="3" fontId="80" fillId="10" borderId="13" xfId="0" applyNumberFormat="1" applyFont="1" applyFill="1" applyBorder="1" applyAlignment="1">
      <alignment/>
    </xf>
    <xf numFmtId="3" fontId="80" fillId="10" borderId="49" xfId="0" applyNumberFormat="1" applyFont="1" applyFill="1" applyBorder="1" applyAlignment="1">
      <alignment/>
    </xf>
    <xf numFmtId="3" fontId="71" fillId="10" borderId="13" xfId="0" applyNumberFormat="1" applyFont="1" applyFill="1" applyBorder="1" applyAlignment="1">
      <alignment horizontal="left" vertical="center" indent="1"/>
    </xf>
    <xf numFmtId="3" fontId="63" fillId="10" borderId="33" xfId="0" applyNumberFormat="1" applyFont="1" applyFill="1" applyBorder="1" applyAlignment="1">
      <alignment horizontal="left" vertical="center" indent="1"/>
    </xf>
    <xf numFmtId="3" fontId="64" fillId="10" borderId="50" xfId="0" applyNumberFormat="1" applyFont="1" applyFill="1" applyBorder="1" applyAlignment="1">
      <alignment vertical="center"/>
    </xf>
    <xf numFmtId="3" fontId="75" fillId="10" borderId="13" xfId="0" applyNumberFormat="1" applyFont="1" applyFill="1" applyBorder="1" applyAlignment="1">
      <alignment vertical="center"/>
    </xf>
    <xf numFmtId="3" fontId="64" fillId="10" borderId="13" xfId="0" applyNumberFormat="1" applyFont="1" applyFill="1" applyBorder="1" applyAlignment="1">
      <alignment horizontal="left" indent="1"/>
    </xf>
    <xf numFmtId="3" fontId="63" fillId="10" borderId="37" xfId="0" applyNumberFormat="1" applyFont="1" applyFill="1" applyBorder="1" applyAlignment="1">
      <alignment/>
    </xf>
    <xf numFmtId="3" fontId="80" fillId="10" borderId="10" xfId="0" applyNumberFormat="1" applyFont="1" applyFill="1" applyBorder="1" applyAlignment="1">
      <alignment/>
    </xf>
    <xf numFmtId="3" fontId="80" fillId="10" borderId="44" xfId="0" applyNumberFormat="1" applyFont="1" applyFill="1" applyBorder="1" applyAlignment="1">
      <alignment/>
    </xf>
    <xf numFmtId="0" fontId="63" fillId="3" borderId="13" xfId="0" applyFont="1" applyFill="1" applyBorder="1" applyAlignment="1">
      <alignment vertical="center"/>
    </xf>
    <xf numFmtId="3" fontId="63" fillId="3" borderId="14" xfId="0" applyNumberFormat="1" applyFont="1" applyFill="1" applyBorder="1" applyAlignment="1">
      <alignment vertical="center"/>
    </xf>
    <xf numFmtId="3" fontId="63" fillId="3" borderId="0" xfId="0" applyNumberFormat="1" applyFont="1" applyFill="1" applyBorder="1" applyAlignment="1">
      <alignment vertical="center"/>
    </xf>
    <xf numFmtId="3" fontId="63" fillId="3" borderId="0" xfId="0" applyNumberFormat="1" applyFont="1" applyFill="1" applyBorder="1" applyAlignment="1">
      <alignment horizontal="left" vertical="center" indent="1"/>
    </xf>
    <xf numFmtId="3" fontId="65" fillId="3" borderId="13" xfId="0" applyNumberFormat="1" applyFont="1" applyFill="1" applyBorder="1" applyAlignment="1">
      <alignment vertical="center"/>
    </xf>
    <xf numFmtId="167" fontId="63" fillId="3" borderId="0" xfId="15" applyNumberFormat="1" applyFont="1" applyFill="1" applyBorder="1" applyAlignment="1">
      <alignment horizontal="center" vertical="center"/>
    </xf>
    <xf numFmtId="3" fontId="63" fillId="3" borderId="0" xfId="0" applyNumberFormat="1" applyFont="1" applyFill="1" applyBorder="1" applyAlignment="1">
      <alignment horizontal="center" vertical="center"/>
    </xf>
    <xf numFmtId="3" fontId="65" fillId="3" borderId="0" xfId="0" applyNumberFormat="1" applyFont="1" applyFill="1" applyBorder="1" applyAlignment="1">
      <alignment vertical="center"/>
    </xf>
    <xf numFmtId="3" fontId="63" fillId="3" borderId="13" xfId="0" applyNumberFormat="1" applyFont="1" applyFill="1" applyBorder="1" applyAlignment="1">
      <alignment horizontal="left" vertical="center" indent="2"/>
    </xf>
    <xf numFmtId="0" fontId="63" fillId="4" borderId="0" xfId="0" applyFont="1" applyFill="1" applyAlignment="1">
      <alignment horizontal="center"/>
    </xf>
    <xf numFmtId="3" fontId="63" fillId="7" borderId="0" xfId="15" applyNumberFormat="1" applyFont="1" applyFill="1" applyBorder="1" applyAlignment="1">
      <alignment vertical="center"/>
    </xf>
    <xf numFmtId="3" fontId="64" fillId="3" borderId="34" xfId="0" applyNumberFormat="1" applyFont="1" applyFill="1" applyBorder="1" applyAlignment="1">
      <alignment horizontal="left" vertical="center" indent="1"/>
    </xf>
    <xf numFmtId="14" fontId="64" fillId="4" borderId="13" xfId="0" applyNumberFormat="1" applyFont="1" applyFill="1" applyBorder="1" applyAlignment="1">
      <alignment horizontal="left" vertical="center" indent="1"/>
    </xf>
    <xf numFmtId="14" fontId="63" fillId="4" borderId="13" xfId="0" applyNumberFormat="1" applyFont="1" applyFill="1" applyBorder="1" applyAlignment="1">
      <alignment horizontal="left" vertical="center" indent="2"/>
    </xf>
    <xf numFmtId="14" fontId="63" fillId="4" borderId="33" xfId="0" applyNumberFormat="1" applyFont="1" applyFill="1" applyBorder="1" applyAlignment="1">
      <alignment horizontal="left" vertical="center" indent="2"/>
    </xf>
    <xf numFmtId="14" fontId="64" fillId="4" borderId="34" xfId="0" applyNumberFormat="1" applyFont="1" applyFill="1" applyBorder="1" applyAlignment="1">
      <alignment horizontal="left" vertical="center" indent="1"/>
    </xf>
    <xf numFmtId="14" fontId="64" fillId="4" borderId="13" xfId="0" applyNumberFormat="1" applyFont="1" applyFill="1" applyBorder="1" applyAlignment="1">
      <alignment horizontal="left" wrapText="1" indent="1"/>
    </xf>
    <xf numFmtId="14" fontId="63" fillId="4" borderId="13" xfId="0" applyNumberFormat="1" applyFont="1" applyFill="1" applyBorder="1" applyAlignment="1">
      <alignment horizontal="left" indent="2"/>
    </xf>
    <xf numFmtId="14" fontId="63" fillId="33" borderId="13" xfId="0" applyNumberFormat="1" applyFont="1" applyFill="1" applyBorder="1" applyAlignment="1" applyProtection="1">
      <alignment horizontal="left" indent="2"/>
      <protection locked="0"/>
    </xf>
    <xf numFmtId="0" fontId="64" fillId="4" borderId="13" xfId="0" applyFont="1" applyFill="1" applyBorder="1" applyAlignment="1">
      <alignment horizontal="left" vertical="center" indent="1"/>
    </xf>
    <xf numFmtId="0" fontId="63" fillId="33" borderId="13" xfId="0" applyFont="1" applyFill="1" applyBorder="1" applyAlignment="1" applyProtection="1">
      <alignment horizontal="left" indent="2"/>
      <protection locked="0"/>
    </xf>
    <xf numFmtId="14" fontId="64" fillId="4" borderId="34" xfId="0" applyNumberFormat="1" applyFont="1" applyFill="1" applyBorder="1" applyAlignment="1">
      <alignment horizontal="left" indent="1"/>
    </xf>
    <xf numFmtId="0" fontId="63" fillId="4" borderId="13" xfId="0" applyFont="1" applyFill="1" applyBorder="1" applyAlignment="1">
      <alignment horizontal="left" indent="1"/>
    </xf>
    <xf numFmtId="0" fontId="64" fillId="4" borderId="13" xfId="0" applyFont="1" applyFill="1" applyBorder="1" applyAlignment="1">
      <alignment horizontal="left" vertical="center" wrapText="1" indent="1"/>
    </xf>
    <xf numFmtId="0" fontId="63" fillId="4" borderId="15" xfId="0" applyFont="1" applyFill="1" applyBorder="1" applyAlignment="1">
      <alignment horizontal="left" indent="1"/>
    </xf>
    <xf numFmtId="14" fontId="64" fillId="4" borderId="13" xfId="0" applyNumberFormat="1" applyFont="1" applyFill="1" applyBorder="1" applyAlignment="1">
      <alignment horizontal="left" vertical="center" wrapText="1" indent="1"/>
    </xf>
    <xf numFmtId="9" fontId="63" fillId="33" borderId="0" xfId="0" applyNumberFormat="1" applyFont="1" applyFill="1" applyBorder="1" applyAlignment="1" applyProtection="1">
      <alignment horizontal="center" vertical="center"/>
      <protection locked="0"/>
    </xf>
    <xf numFmtId="0" fontId="64" fillId="4" borderId="13" xfId="0" applyFont="1" applyFill="1" applyBorder="1" applyAlignment="1">
      <alignment horizontal="left" wrapText="1" indent="1"/>
    </xf>
    <xf numFmtId="0" fontId="63" fillId="4" borderId="13" xfId="0" applyFont="1" applyFill="1" applyBorder="1" applyAlignment="1">
      <alignment horizontal="left" vertical="center" wrapText="1" indent="2"/>
    </xf>
    <xf numFmtId="9" fontId="63" fillId="33" borderId="0" xfId="0" applyNumberFormat="1" applyFont="1" applyFill="1" applyBorder="1" applyAlignment="1" applyProtection="1">
      <alignment horizontal="center" vertical="center"/>
      <protection locked="0"/>
    </xf>
    <xf numFmtId="14" fontId="63" fillId="33" borderId="33" xfId="0" applyNumberFormat="1" applyFont="1" applyFill="1" applyBorder="1" applyAlignment="1" applyProtection="1">
      <alignment horizontal="left" indent="2"/>
      <protection locked="0"/>
    </xf>
    <xf numFmtId="0" fontId="64" fillId="4" borderId="0" xfId="0" applyFont="1" applyFill="1" applyBorder="1" applyAlignment="1">
      <alignment horizontal="left" wrapText="1" indent="1"/>
    </xf>
    <xf numFmtId="3" fontId="63" fillId="5" borderId="33" xfId="0" applyNumberFormat="1" applyFont="1" applyFill="1" applyBorder="1" applyAlignment="1">
      <alignment vertical="center"/>
    </xf>
    <xf numFmtId="3" fontId="63" fillId="5" borderId="27" xfId="0" applyNumberFormat="1" applyFont="1" applyFill="1" applyBorder="1" applyAlignment="1">
      <alignment vertical="center"/>
    </xf>
    <xf numFmtId="0" fontId="63" fillId="5" borderId="51" xfId="0" applyFont="1" applyFill="1" applyBorder="1" applyAlignment="1">
      <alignment vertical="center"/>
    </xf>
    <xf numFmtId="14" fontId="66" fillId="33" borderId="0" xfId="0" applyNumberFormat="1" applyFont="1" applyFill="1" applyAlignment="1" applyProtection="1">
      <alignment horizontal="left" vertical="center"/>
      <protection locked="0"/>
    </xf>
    <xf numFmtId="0" fontId="80" fillId="5" borderId="10" xfId="0" applyFont="1" applyFill="1" applyBorder="1" applyAlignment="1">
      <alignment horizontal="left" vertical="center"/>
    </xf>
    <xf numFmtId="0" fontId="80" fillId="5" borderId="11" xfId="0" applyFont="1" applyFill="1" applyBorder="1" applyAlignment="1">
      <alignment horizontal="left" vertical="center"/>
    </xf>
    <xf numFmtId="0" fontId="80" fillId="5" borderId="12" xfId="0" applyFont="1" applyFill="1" applyBorder="1" applyAlignment="1">
      <alignment horizontal="left" vertical="center"/>
    </xf>
    <xf numFmtId="0" fontId="80" fillId="5" borderId="15" xfId="0" applyFont="1" applyFill="1" applyBorder="1" applyAlignment="1">
      <alignment horizontal="left" vertical="center"/>
    </xf>
    <xf numFmtId="0" fontId="80" fillId="5" borderId="16" xfId="0" applyFont="1" applyFill="1" applyBorder="1" applyAlignment="1">
      <alignment horizontal="left" vertical="center"/>
    </xf>
    <xf numFmtId="0" fontId="80" fillId="5" borderId="17" xfId="0" applyFont="1" applyFill="1" applyBorder="1" applyAlignment="1">
      <alignment horizontal="left" vertical="center"/>
    </xf>
    <xf numFmtId="0" fontId="74" fillId="5" borderId="10" xfId="0" applyFont="1" applyFill="1" applyBorder="1" applyAlignment="1">
      <alignment horizontal="left" vertical="center" wrapText="1"/>
    </xf>
    <xf numFmtId="0" fontId="74" fillId="5" borderId="15" xfId="0" applyFont="1" applyFill="1" applyBorder="1" applyAlignment="1">
      <alignment horizontal="left" vertical="center" wrapText="1"/>
    </xf>
    <xf numFmtId="5" fontId="74" fillId="5" borderId="11" xfId="15" applyNumberFormat="1" applyFont="1" applyFill="1" applyBorder="1" applyAlignment="1">
      <alignment horizontal="center" vertical="center"/>
    </xf>
    <xf numFmtId="5" fontId="74" fillId="5" borderId="12" xfId="15" applyNumberFormat="1" applyFont="1" applyFill="1" applyBorder="1" applyAlignment="1">
      <alignment horizontal="center" vertical="center"/>
    </xf>
    <xf numFmtId="5" fontId="74" fillId="5" borderId="16" xfId="15" applyNumberFormat="1" applyFont="1" applyFill="1" applyBorder="1" applyAlignment="1">
      <alignment horizontal="center" vertical="center"/>
    </xf>
    <xf numFmtId="5" fontId="74" fillId="5" borderId="17" xfId="15" applyNumberFormat="1" applyFont="1" applyFill="1" applyBorder="1" applyAlignment="1">
      <alignment horizontal="center" vertical="center"/>
    </xf>
    <xf numFmtId="0" fontId="82" fillId="33" borderId="0" xfId="0" applyFont="1" applyFill="1" applyAlignment="1">
      <alignment horizontal="left" vertical="center"/>
    </xf>
    <xf numFmtId="14" fontId="83" fillId="2" borderId="0" xfId="0" applyNumberFormat="1" applyFont="1" applyFill="1" applyAlignment="1" applyProtection="1">
      <alignment horizontal="left"/>
      <protection/>
    </xf>
    <xf numFmtId="14" fontId="80" fillId="4" borderId="10" xfId="0" applyNumberFormat="1" applyFont="1" applyFill="1" applyBorder="1" applyAlignment="1">
      <alignment horizontal="left" vertical="center"/>
    </xf>
    <xf numFmtId="14" fontId="80" fillId="4" borderId="11" xfId="0" applyNumberFormat="1" applyFont="1" applyFill="1" applyBorder="1" applyAlignment="1">
      <alignment horizontal="left" vertical="center"/>
    </xf>
    <xf numFmtId="14" fontId="80" fillId="4" borderId="12" xfId="0" applyNumberFormat="1" applyFont="1" applyFill="1" applyBorder="1" applyAlignment="1">
      <alignment horizontal="left" vertical="center"/>
    </xf>
    <xf numFmtId="14" fontId="80" fillId="4" borderId="15" xfId="0" applyNumberFormat="1" applyFont="1" applyFill="1" applyBorder="1" applyAlignment="1">
      <alignment horizontal="left" vertical="center"/>
    </xf>
    <xf numFmtId="14" fontId="80" fillId="4" borderId="16" xfId="0" applyNumberFormat="1" applyFont="1" applyFill="1" applyBorder="1" applyAlignment="1">
      <alignment horizontal="left" vertical="center"/>
    </xf>
    <xf numFmtId="14" fontId="80" fillId="4" borderId="17" xfId="0" applyNumberFormat="1" applyFont="1" applyFill="1" applyBorder="1" applyAlignment="1">
      <alignment horizontal="left" vertical="center"/>
    </xf>
    <xf numFmtId="14" fontId="84" fillId="33" borderId="0" xfId="0" applyNumberFormat="1" applyFont="1" applyFill="1" applyBorder="1" applyAlignment="1">
      <alignment horizontal="center" vertical="center"/>
    </xf>
    <xf numFmtId="14" fontId="66" fillId="2" borderId="0" xfId="0" applyNumberFormat="1" applyFont="1" applyFill="1" applyAlignment="1" applyProtection="1">
      <alignment horizontal="left"/>
      <protection/>
    </xf>
    <xf numFmtId="0" fontId="66" fillId="33" borderId="0" xfId="0" applyFont="1" applyFill="1" applyAlignment="1" applyProtection="1">
      <alignment horizontal="left" vertical="center"/>
      <protection locked="0"/>
    </xf>
    <xf numFmtId="3" fontId="64" fillId="3" borderId="33" xfId="0" applyNumberFormat="1" applyFont="1" applyFill="1" applyBorder="1" applyAlignment="1">
      <alignment horizontal="left" wrapText="1" indent="1"/>
    </xf>
    <xf numFmtId="3" fontId="64" fillId="3" borderId="27" xfId="0" applyNumberFormat="1" applyFont="1" applyFill="1" applyBorder="1" applyAlignment="1">
      <alignment horizontal="left" wrapText="1" indent="1"/>
    </xf>
    <xf numFmtId="173" fontId="64" fillId="5" borderId="11" xfId="0" applyNumberFormat="1" applyFont="1" applyFill="1" applyBorder="1" applyAlignment="1">
      <alignment horizontal="center" vertical="center"/>
    </xf>
    <xf numFmtId="173" fontId="64" fillId="5" borderId="12" xfId="0" applyNumberFormat="1" applyFont="1" applyFill="1" applyBorder="1" applyAlignment="1">
      <alignment horizontal="center" vertical="center"/>
    </xf>
    <xf numFmtId="173" fontId="64" fillId="5" borderId="16" xfId="0" applyNumberFormat="1" applyFont="1" applyFill="1" applyBorder="1" applyAlignment="1">
      <alignment horizontal="center" vertical="center"/>
    </xf>
    <xf numFmtId="173" fontId="64" fillId="5" borderId="17" xfId="0" applyNumberFormat="1" applyFont="1" applyFill="1" applyBorder="1" applyAlignment="1">
      <alignment horizontal="center" vertical="center"/>
    </xf>
    <xf numFmtId="0" fontId="76" fillId="8" borderId="10" xfId="0" applyFont="1" applyFill="1" applyBorder="1" applyAlignment="1">
      <alignment horizontal="left" vertical="center" wrapText="1"/>
    </xf>
    <xf numFmtId="0" fontId="76" fillId="8" borderId="11" xfId="0" applyFont="1" applyFill="1" applyBorder="1" applyAlignment="1">
      <alignment horizontal="left" vertical="center" wrapText="1"/>
    </xf>
    <xf numFmtId="0" fontId="76" fillId="8" borderId="12" xfId="0" applyFont="1" applyFill="1" applyBorder="1" applyAlignment="1">
      <alignment horizontal="left" vertical="center" wrapText="1"/>
    </xf>
    <xf numFmtId="0" fontId="76" fillId="8" borderId="13" xfId="0" applyFont="1" applyFill="1" applyBorder="1" applyAlignment="1">
      <alignment horizontal="left" vertical="center" wrapText="1"/>
    </xf>
    <xf numFmtId="0" fontId="76" fillId="8" borderId="0" xfId="0" applyFont="1" applyFill="1" applyBorder="1" applyAlignment="1">
      <alignment horizontal="left" vertical="center" wrapText="1"/>
    </xf>
    <xf numFmtId="0" fontId="76" fillId="8" borderId="14" xfId="0" applyFont="1" applyFill="1" applyBorder="1" applyAlignment="1">
      <alignment horizontal="left" vertical="center" wrapText="1"/>
    </xf>
    <xf numFmtId="0" fontId="76" fillId="8" borderId="15" xfId="0" applyFont="1" applyFill="1" applyBorder="1" applyAlignment="1">
      <alignment horizontal="left" vertical="center" wrapText="1"/>
    </xf>
    <xf numFmtId="0" fontId="76" fillId="8" borderId="16" xfId="0" applyFont="1" applyFill="1" applyBorder="1" applyAlignment="1">
      <alignment horizontal="left" vertical="center" wrapText="1"/>
    </xf>
    <xf numFmtId="0" fontId="76" fillId="8" borderId="17" xfId="0" applyFont="1" applyFill="1" applyBorder="1" applyAlignment="1">
      <alignment horizontal="left" vertical="center" wrapText="1"/>
    </xf>
    <xf numFmtId="14" fontId="64" fillId="4" borderId="13" xfId="0" applyNumberFormat="1" applyFont="1" applyFill="1" applyBorder="1" applyAlignment="1">
      <alignment horizontal="left" vertical="center" wrapText="1" indent="1"/>
    </xf>
    <xf numFmtId="0" fontId="64" fillId="4" borderId="13" xfId="0" applyFont="1" applyFill="1" applyBorder="1" applyAlignment="1">
      <alignment horizontal="left" wrapText="1" indent="1"/>
    </xf>
    <xf numFmtId="10" fontId="74" fillId="5" borderId="11" xfId="57" applyNumberFormat="1" applyFont="1" applyFill="1" applyBorder="1" applyAlignment="1">
      <alignment horizontal="center" vertical="center"/>
    </xf>
    <xf numFmtId="10" fontId="74" fillId="5" borderId="12" xfId="57" applyNumberFormat="1" applyFont="1" applyFill="1" applyBorder="1" applyAlignment="1">
      <alignment horizontal="center" vertical="center"/>
    </xf>
    <xf numFmtId="10" fontId="74" fillId="5" borderId="16" xfId="57" applyNumberFormat="1" applyFont="1" applyFill="1" applyBorder="1" applyAlignment="1">
      <alignment horizontal="center" vertical="center"/>
    </xf>
    <xf numFmtId="10" fontId="74" fillId="5" borderId="17" xfId="57" applyNumberFormat="1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left" wrapText="1"/>
    </xf>
    <xf numFmtId="0" fontId="63" fillId="4" borderId="0" xfId="0" applyFont="1" applyFill="1" applyAlignment="1">
      <alignment horizontal="left" wrapText="1"/>
    </xf>
    <xf numFmtId="0" fontId="64" fillId="4" borderId="0" xfId="0" applyFont="1" applyFill="1" applyBorder="1" applyAlignment="1">
      <alignment horizontal="left" vertical="center" wrapText="1"/>
    </xf>
    <xf numFmtId="0" fontId="63" fillId="4" borderId="0" xfId="0" applyFont="1" applyFill="1" applyAlignment="1">
      <alignment horizontal="left" vertical="top" wrapText="1"/>
    </xf>
    <xf numFmtId="0" fontId="64" fillId="4" borderId="39" xfId="0" applyFont="1" applyFill="1" applyBorder="1" applyAlignment="1">
      <alignment horizontal="left" vertical="center"/>
    </xf>
    <xf numFmtId="0" fontId="64" fillId="4" borderId="40" xfId="0" applyFont="1" applyFill="1" applyBorder="1" applyAlignment="1">
      <alignment horizontal="left" vertical="center"/>
    </xf>
    <xf numFmtId="0" fontId="64" fillId="4" borderId="41" xfId="0" applyFont="1" applyFill="1" applyBorder="1" applyAlignment="1">
      <alignment horizontal="left" vertical="center"/>
    </xf>
    <xf numFmtId="0" fontId="64" fillId="4" borderId="42" xfId="0" applyFont="1" applyFill="1" applyBorder="1" applyAlignment="1">
      <alignment horizontal="left" vertical="center"/>
    </xf>
    <xf numFmtId="0" fontId="63" fillId="4" borderId="39" xfId="0" applyFont="1" applyFill="1" applyBorder="1" applyAlignment="1">
      <alignment horizontal="left" vertical="center"/>
    </xf>
    <xf numFmtId="0" fontId="63" fillId="4" borderId="40" xfId="0" applyFont="1" applyFill="1" applyBorder="1" applyAlignment="1">
      <alignment horizontal="left" vertical="center"/>
    </xf>
    <xf numFmtId="0" fontId="63" fillId="4" borderId="41" xfId="0" applyFont="1" applyFill="1" applyBorder="1" applyAlignment="1">
      <alignment horizontal="left" vertical="center"/>
    </xf>
    <xf numFmtId="0" fontId="64" fillId="4" borderId="39" xfId="0" applyFont="1" applyFill="1" applyBorder="1" applyAlignment="1">
      <alignment horizontal="left" vertical="center" wrapText="1"/>
    </xf>
    <xf numFmtId="0" fontId="64" fillId="4" borderId="40" xfId="0" applyFont="1" applyFill="1" applyBorder="1" applyAlignment="1">
      <alignment horizontal="left" vertical="center" wrapText="1"/>
    </xf>
    <xf numFmtId="0" fontId="64" fillId="4" borderId="41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3" fillId="0" borderId="0" xfId="0" applyFont="1" applyAlignment="1" applyProtection="1">
      <alignment horizontal="center"/>
      <protection locked="0"/>
    </xf>
    <xf numFmtId="0" fontId="63" fillId="4" borderId="39" xfId="0" applyFont="1" applyFill="1" applyBorder="1" applyAlignment="1">
      <alignment horizontal="left" vertical="center" wrapText="1"/>
    </xf>
    <xf numFmtId="0" fontId="63" fillId="4" borderId="40" xfId="0" applyFont="1" applyFill="1" applyBorder="1" applyAlignment="1">
      <alignment horizontal="left" vertical="center" wrapText="1"/>
    </xf>
    <xf numFmtId="0" fontId="63" fillId="4" borderId="41" xfId="0" applyFont="1" applyFill="1" applyBorder="1" applyAlignment="1">
      <alignment horizontal="left" vertical="center" wrapText="1"/>
    </xf>
    <xf numFmtId="0" fontId="85" fillId="33" borderId="39" xfId="0" applyFont="1" applyFill="1" applyBorder="1" applyAlignment="1" applyProtection="1">
      <alignment horizontal="left" vertical="center"/>
      <protection locked="0"/>
    </xf>
    <xf numFmtId="0" fontId="85" fillId="33" borderId="40" xfId="0" applyFont="1" applyFill="1" applyBorder="1" applyAlignment="1" applyProtection="1">
      <alignment horizontal="left" vertical="center"/>
      <protection locked="0"/>
    </xf>
    <xf numFmtId="0" fontId="85" fillId="33" borderId="41" xfId="0" applyFont="1" applyFill="1" applyBorder="1" applyAlignment="1" applyProtection="1">
      <alignment horizontal="left" vertical="center"/>
      <protection locked="0"/>
    </xf>
    <xf numFmtId="0" fontId="77" fillId="4" borderId="42" xfId="0" applyFont="1" applyFill="1" applyBorder="1" applyAlignment="1">
      <alignment horizontal="center"/>
    </xf>
    <xf numFmtId="0" fontId="77" fillId="4" borderId="39" xfId="0" applyFont="1" applyFill="1" applyBorder="1" applyAlignment="1">
      <alignment horizontal="center"/>
    </xf>
    <xf numFmtId="0" fontId="77" fillId="4" borderId="40" xfId="0" applyFont="1" applyFill="1" applyBorder="1" applyAlignment="1">
      <alignment horizontal="center"/>
    </xf>
    <xf numFmtId="0" fontId="77" fillId="4" borderId="41" xfId="0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4" descr="Landbo Limfjord 3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562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2181225</xdr:colOff>
      <xdr:row>0</xdr:row>
      <xdr:rowOff>704850</xdr:rowOff>
    </xdr:to>
    <xdr:pic>
      <xdr:nvPicPr>
        <xdr:cNvPr id="2" name="Picture 14" descr="Landbo Limfjord 3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11950" y="0"/>
          <a:ext cx="2181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180975</xdr:colOff>
      <xdr:row>47</xdr:row>
      <xdr:rowOff>123825</xdr:rowOff>
    </xdr:from>
    <xdr:ext cx="10229850" cy="1143000"/>
    <xdr:sp>
      <xdr:nvSpPr>
        <xdr:cNvPr id="3" name="Tekstboks 3"/>
        <xdr:cNvSpPr txBox="1">
          <a:spLocks noChangeArrowheads="1"/>
        </xdr:cNvSpPr>
      </xdr:nvSpPr>
      <xdr:spPr>
        <a:xfrm>
          <a:off x="8115300" y="13182600"/>
          <a:ext cx="102298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Den Europæiske Union ved Den Europæiske Fond for Udvikling af Landdistrikter og Ministeriet for Fødevarer, Landbrug og Fiskeri har deltaget i finansieringen af projektet.
</a:t>
          </a:r>
          <a:r>
            <a:rPr lang="en-US" cap="none" sz="1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Værktøjet er blevt demonstreret i brug på LandboLimfjord. </a:t>
          </a:r>
          <a:r>
            <a:rPr lang="en-US" cap="none" sz="1000" b="0" i="1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Brug af værktøjet sker på eget ansvar og der kan ikke gøres noget krav gældende over for Landbo Limfjord eller andre.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13</xdr:col>
      <xdr:colOff>571500</xdr:colOff>
      <xdr:row>1</xdr:row>
      <xdr:rowOff>85725</xdr:rowOff>
    </xdr:to>
    <xdr:pic>
      <xdr:nvPicPr>
        <xdr:cNvPr id="1" name="Picture 14" descr="Landbo Limfjord 3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39</xdr:row>
      <xdr:rowOff>0</xdr:rowOff>
    </xdr:from>
    <xdr:to>
      <xdr:col>14</xdr:col>
      <xdr:colOff>0</xdr:colOff>
      <xdr:row>40</xdr:row>
      <xdr:rowOff>133350</xdr:rowOff>
    </xdr:to>
    <xdr:pic>
      <xdr:nvPicPr>
        <xdr:cNvPr id="2" name="Picture 14" descr="Landbo Limfjord 300%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8286750"/>
          <a:ext cx="1790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E2457"/>
  <sheetViews>
    <sheetView tabSelected="1" view="pageLayout" zoomScale="70" zoomScaleNormal="42" zoomScalePageLayoutView="70" workbookViewId="0" topLeftCell="A7">
      <selection activeCell="G12" sqref="G12"/>
    </sheetView>
  </sheetViews>
  <sheetFormatPr defaultColWidth="9.140625" defaultRowHeight="15"/>
  <cols>
    <col min="1" max="1" width="5.00390625" style="53" customWidth="1"/>
    <col min="2" max="2" width="33.140625" style="53" customWidth="1"/>
    <col min="3" max="3" width="13.57421875" style="53" customWidth="1"/>
    <col min="4" max="4" width="11.421875" style="53" customWidth="1"/>
    <col min="5" max="5" width="10.8515625" style="53" customWidth="1"/>
    <col min="6" max="6" width="10.28125" style="53" customWidth="1"/>
    <col min="7" max="7" width="24.57421875" style="53" customWidth="1"/>
    <col min="8" max="8" width="5.140625" style="53" customWidth="1"/>
    <col min="9" max="9" width="5.00390625" style="53" customWidth="1"/>
    <col min="10" max="10" width="34.57421875" style="53" customWidth="1"/>
    <col min="11" max="11" width="16.28125" style="70" customWidth="1"/>
    <col min="12" max="12" width="9.28125" style="70" customWidth="1"/>
    <col min="13" max="13" width="10.7109375" style="70" customWidth="1"/>
    <col min="14" max="14" width="7.8515625" style="53" customWidth="1"/>
    <col min="15" max="15" width="45.8515625" style="53" customWidth="1"/>
    <col min="16" max="16" width="15.00390625" style="70" customWidth="1"/>
    <col min="17" max="17" width="21.8515625" style="53" customWidth="1"/>
    <col min="18" max="18" width="2.28125" style="53" customWidth="1"/>
    <col min="19" max="19" width="3.140625" style="53" customWidth="1"/>
    <col min="20" max="20" width="5.28125" style="53" customWidth="1"/>
    <col min="21" max="21" width="2.28125" style="53" hidden="1" customWidth="1"/>
    <col min="22" max="22" width="38.140625" style="53" customWidth="1"/>
    <col min="23" max="23" width="15.421875" style="71" customWidth="1"/>
    <col min="24" max="37" width="13.421875" style="53" customWidth="1"/>
    <col min="38" max="38" width="13.7109375" style="53" customWidth="1"/>
    <col min="39" max="39" width="3.8515625" style="53" customWidth="1"/>
    <col min="40" max="40" width="9.28125" style="53" customWidth="1"/>
    <col min="41" max="41" width="15.7109375" style="53" customWidth="1"/>
    <col min="42" max="42" width="43.28125" style="53" customWidth="1"/>
    <col min="43" max="43" width="9.140625" style="53" customWidth="1"/>
    <col min="44" max="58" width="14.00390625" style="53" customWidth="1"/>
    <col min="59" max="59" width="9.140625" style="53" customWidth="1"/>
    <col min="60" max="60" width="11.140625" style="53" bestFit="1" customWidth="1"/>
    <col min="61" max="61" width="18.140625" style="53" bestFit="1" customWidth="1"/>
    <col min="62" max="62" width="34.28125" style="53" customWidth="1"/>
    <col min="63" max="63" width="10.8515625" style="53" customWidth="1"/>
    <col min="64" max="64" width="14.8515625" style="53" customWidth="1"/>
    <col min="65" max="78" width="12.7109375" style="53" customWidth="1"/>
    <col min="79" max="80" width="9.140625" style="53" customWidth="1"/>
    <col min="81" max="81" width="13.8515625" style="53" customWidth="1"/>
    <col min="82" max="82" width="30.28125" style="53" customWidth="1"/>
    <col min="83" max="83" width="15.28125" style="53" customWidth="1"/>
    <col min="84" max="84" width="15.8515625" style="53" customWidth="1"/>
    <col min="85" max="98" width="13.140625" style="53" customWidth="1"/>
    <col min="99" max="100" width="9.140625" style="53" customWidth="1"/>
    <col min="101" max="101" width="11.00390625" style="53" customWidth="1"/>
    <col min="102" max="102" width="9.140625" style="53" customWidth="1"/>
    <col min="103" max="103" width="32.421875" style="53" customWidth="1"/>
    <col min="104" max="118" width="13.28125" style="53" customWidth="1"/>
    <col min="119" max="120" width="9.140625" style="53" customWidth="1"/>
    <col min="121" max="121" width="11.28125" style="53" customWidth="1"/>
    <col min="122" max="124" width="9.140625" style="53" customWidth="1"/>
    <col min="125" max="16384" width="9.140625" style="53" customWidth="1"/>
  </cols>
  <sheetData>
    <row r="1" spans="2:35" ht="63.75" customHeight="1">
      <c r="B1" s="68"/>
      <c r="D1" s="426" t="s">
        <v>242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V1" s="68"/>
      <c r="W1" s="69"/>
      <c r="Y1" s="426" t="str">
        <f>D1</f>
        <v>Investering i "Grøn Energi til husbehov"</v>
      </c>
      <c r="Z1" s="426"/>
      <c r="AA1" s="426"/>
      <c r="AB1" s="426"/>
      <c r="AC1" s="426"/>
      <c r="AD1" s="426"/>
      <c r="AE1" s="426"/>
      <c r="AF1" s="426"/>
      <c r="AG1" s="426"/>
      <c r="AH1" s="426"/>
      <c r="AI1" s="426"/>
    </row>
    <row r="2" ht="12.75" customHeight="1">
      <c r="B2" s="68"/>
    </row>
    <row r="3" spans="1:103" ht="31.5" customHeight="1">
      <c r="A3" s="72"/>
      <c r="B3" s="427"/>
      <c r="C3" s="427"/>
      <c r="D3" s="427"/>
      <c r="E3" s="427"/>
      <c r="F3" s="427"/>
      <c r="G3" s="73"/>
      <c r="H3" s="73"/>
      <c r="I3" s="73"/>
      <c r="J3" s="73"/>
      <c r="K3" s="74"/>
      <c r="L3" s="74"/>
      <c r="M3" s="74"/>
      <c r="N3" s="73"/>
      <c r="O3" s="73"/>
      <c r="P3" s="75" t="s">
        <v>16</v>
      </c>
      <c r="Q3" s="76">
        <f ca="1">TODAY()</f>
        <v>40833</v>
      </c>
      <c r="V3" s="302" t="s">
        <v>245</v>
      </c>
      <c r="W3" s="78"/>
      <c r="AP3" s="77" t="s">
        <v>166</v>
      </c>
      <c r="AQ3" s="78"/>
      <c r="BJ3" s="77" t="s">
        <v>167</v>
      </c>
      <c r="BK3" s="78"/>
      <c r="CD3" s="77" t="s">
        <v>168</v>
      </c>
      <c r="CE3" s="78"/>
      <c r="CX3" s="77" t="s">
        <v>169</v>
      </c>
      <c r="CY3" s="78"/>
    </row>
    <row r="4" spans="1:103" ht="15" customHeight="1" thickBot="1">
      <c r="A4" s="72"/>
      <c r="B4" s="427"/>
      <c r="C4" s="427"/>
      <c r="D4" s="427"/>
      <c r="E4" s="427"/>
      <c r="F4" s="427"/>
      <c r="G4" s="73"/>
      <c r="H4" s="73"/>
      <c r="I4" s="73"/>
      <c r="J4" s="73"/>
      <c r="K4" s="74"/>
      <c r="L4" s="74"/>
      <c r="M4" s="74"/>
      <c r="N4" s="73"/>
      <c r="O4" s="73"/>
      <c r="P4" s="75"/>
      <c r="Q4" s="79"/>
      <c r="AQ4" s="71"/>
      <c r="BK4" s="71"/>
      <c r="CE4" s="71"/>
      <c r="CY4" s="71"/>
    </row>
    <row r="5" spans="1:119" ht="32.25" customHeight="1" thickBot="1">
      <c r="A5" s="72"/>
      <c r="B5" s="428" t="s">
        <v>251</v>
      </c>
      <c r="C5" s="428"/>
      <c r="D5" s="428"/>
      <c r="E5" s="428"/>
      <c r="F5" s="428"/>
      <c r="G5" s="72"/>
      <c r="H5" s="418" t="s">
        <v>244</v>
      </c>
      <c r="I5" s="418"/>
      <c r="J5" s="418"/>
      <c r="K5" s="418"/>
      <c r="L5" s="418"/>
      <c r="M5" s="418"/>
      <c r="N5" s="418"/>
      <c r="O5" s="418"/>
      <c r="P5" s="81" t="s">
        <v>15</v>
      </c>
      <c r="Q5" s="82"/>
      <c r="U5" s="83"/>
      <c r="V5" s="361" t="s">
        <v>223</v>
      </c>
      <c r="W5" s="84"/>
      <c r="X5" s="85" t="s">
        <v>18</v>
      </c>
      <c r="Y5" s="86" t="s">
        <v>19</v>
      </c>
      <c r="Z5" s="86" t="s">
        <v>20</v>
      </c>
      <c r="AA5" s="86" t="s">
        <v>21</v>
      </c>
      <c r="AB5" s="86" t="s">
        <v>22</v>
      </c>
      <c r="AC5" s="86" t="s">
        <v>23</v>
      </c>
      <c r="AD5" s="86" t="s">
        <v>24</v>
      </c>
      <c r="AE5" s="86" t="s">
        <v>25</v>
      </c>
      <c r="AF5" s="86" t="s">
        <v>26</v>
      </c>
      <c r="AG5" s="86" t="s">
        <v>27</v>
      </c>
      <c r="AH5" s="86" t="s">
        <v>28</v>
      </c>
      <c r="AI5" s="86" t="s">
        <v>29</v>
      </c>
      <c r="AJ5" s="86" t="s">
        <v>30</v>
      </c>
      <c r="AK5" s="86" t="s">
        <v>31</v>
      </c>
      <c r="AL5" s="86" t="s">
        <v>32</v>
      </c>
      <c r="AM5" s="296"/>
      <c r="AP5" s="368" t="s">
        <v>223</v>
      </c>
      <c r="AQ5" s="339"/>
      <c r="AR5" s="340" t="s">
        <v>18</v>
      </c>
      <c r="AS5" s="341" t="s">
        <v>19</v>
      </c>
      <c r="AT5" s="341" t="s">
        <v>20</v>
      </c>
      <c r="AU5" s="341" t="s">
        <v>21</v>
      </c>
      <c r="AV5" s="341" t="s">
        <v>22</v>
      </c>
      <c r="AW5" s="341" t="s">
        <v>23</v>
      </c>
      <c r="AX5" s="341" t="s">
        <v>24</v>
      </c>
      <c r="AY5" s="341" t="s">
        <v>25</v>
      </c>
      <c r="AZ5" s="341" t="s">
        <v>26</v>
      </c>
      <c r="BA5" s="341" t="s">
        <v>27</v>
      </c>
      <c r="BB5" s="341" t="s">
        <v>28</v>
      </c>
      <c r="BC5" s="341" t="s">
        <v>29</v>
      </c>
      <c r="BD5" s="341" t="s">
        <v>30</v>
      </c>
      <c r="BE5" s="341" t="s">
        <v>31</v>
      </c>
      <c r="BF5" s="341" t="s">
        <v>32</v>
      </c>
      <c r="BG5" s="87"/>
      <c r="BJ5" s="369" t="s">
        <v>223</v>
      </c>
      <c r="BK5" s="84"/>
      <c r="BL5" s="85" t="s">
        <v>18</v>
      </c>
      <c r="BM5" s="86" t="s">
        <v>19</v>
      </c>
      <c r="BN5" s="86" t="s">
        <v>20</v>
      </c>
      <c r="BO5" s="86" t="s">
        <v>21</v>
      </c>
      <c r="BP5" s="86" t="s">
        <v>22</v>
      </c>
      <c r="BQ5" s="86" t="s">
        <v>23</v>
      </c>
      <c r="BR5" s="86" t="s">
        <v>24</v>
      </c>
      <c r="BS5" s="86" t="s">
        <v>25</v>
      </c>
      <c r="BT5" s="86" t="s">
        <v>26</v>
      </c>
      <c r="BU5" s="86" t="s">
        <v>27</v>
      </c>
      <c r="BV5" s="86" t="s">
        <v>28</v>
      </c>
      <c r="BW5" s="86" t="s">
        <v>29</v>
      </c>
      <c r="BX5" s="86" t="s">
        <v>30</v>
      </c>
      <c r="BY5" s="86" t="s">
        <v>31</v>
      </c>
      <c r="BZ5" s="86" t="s">
        <v>32</v>
      </c>
      <c r="CA5" s="87"/>
      <c r="CD5" s="368" t="s">
        <v>223</v>
      </c>
      <c r="CE5" s="84"/>
      <c r="CF5" s="85" t="s">
        <v>18</v>
      </c>
      <c r="CG5" s="86" t="s">
        <v>19</v>
      </c>
      <c r="CH5" s="86" t="s">
        <v>20</v>
      </c>
      <c r="CI5" s="86" t="s">
        <v>21</v>
      </c>
      <c r="CJ5" s="86" t="s">
        <v>22</v>
      </c>
      <c r="CK5" s="86" t="s">
        <v>23</v>
      </c>
      <c r="CL5" s="86" t="s">
        <v>24</v>
      </c>
      <c r="CM5" s="86" t="s">
        <v>25</v>
      </c>
      <c r="CN5" s="86" t="s">
        <v>26</v>
      </c>
      <c r="CO5" s="86" t="s">
        <v>27</v>
      </c>
      <c r="CP5" s="86" t="s">
        <v>28</v>
      </c>
      <c r="CQ5" s="86" t="s">
        <v>29</v>
      </c>
      <c r="CR5" s="86" t="s">
        <v>30</v>
      </c>
      <c r="CS5" s="86" t="s">
        <v>31</v>
      </c>
      <c r="CT5" s="86" t="s">
        <v>32</v>
      </c>
      <c r="CU5" s="87"/>
      <c r="CX5" s="368" t="s">
        <v>223</v>
      </c>
      <c r="CY5" s="84"/>
      <c r="CZ5" s="85" t="s">
        <v>18</v>
      </c>
      <c r="DA5" s="86" t="s">
        <v>19</v>
      </c>
      <c r="DB5" s="86" t="s">
        <v>20</v>
      </c>
      <c r="DC5" s="86" t="s">
        <v>21</v>
      </c>
      <c r="DD5" s="86" t="s">
        <v>22</v>
      </c>
      <c r="DE5" s="86" t="s">
        <v>23</v>
      </c>
      <c r="DF5" s="86" t="s">
        <v>24</v>
      </c>
      <c r="DG5" s="86" t="s">
        <v>25</v>
      </c>
      <c r="DH5" s="86" t="s">
        <v>26</v>
      </c>
      <c r="DI5" s="86" t="s">
        <v>27</v>
      </c>
      <c r="DJ5" s="86" t="s">
        <v>28</v>
      </c>
      <c r="DK5" s="86" t="s">
        <v>29</v>
      </c>
      <c r="DL5" s="86" t="s">
        <v>30</v>
      </c>
      <c r="DM5" s="86" t="s">
        <v>31</v>
      </c>
      <c r="DN5" s="86" t="s">
        <v>32</v>
      </c>
      <c r="DO5" s="87"/>
    </row>
    <row r="6" spans="1:121" ht="18.75" customHeight="1">
      <c r="A6" s="72"/>
      <c r="B6" s="405" t="s">
        <v>238</v>
      </c>
      <c r="C6" s="405"/>
      <c r="D6" s="405"/>
      <c r="E6" s="405"/>
      <c r="F6" s="405"/>
      <c r="G6" s="72"/>
      <c r="H6" s="72"/>
      <c r="I6" s="72"/>
      <c r="J6" s="72"/>
      <c r="K6" s="80"/>
      <c r="L6" s="80"/>
      <c r="M6" s="80"/>
      <c r="N6" s="72"/>
      <c r="O6" s="88"/>
      <c r="P6" s="80"/>
      <c r="Q6" s="72"/>
      <c r="U6" s="89"/>
      <c r="V6" s="354" t="s">
        <v>68</v>
      </c>
      <c r="W6" s="217"/>
      <c r="X6" s="265">
        <f>'Mellemregning 2'!G15</f>
        <v>600</v>
      </c>
      <c r="Y6" s="265">
        <f>X6</f>
        <v>600</v>
      </c>
      <c r="Z6" s="265">
        <f aca="true" t="shared" si="0" ref="Z6:AL7">Y6</f>
        <v>600</v>
      </c>
      <c r="AA6" s="265">
        <f t="shared" si="0"/>
        <v>600</v>
      </c>
      <c r="AB6" s="265">
        <f t="shared" si="0"/>
        <v>600</v>
      </c>
      <c r="AC6" s="265">
        <f t="shared" si="0"/>
        <v>600</v>
      </c>
      <c r="AD6" s="265">
        <f t="shared" si="0"/>
        <v>600</v>
      </c>
      <c r="AE6" s="265">
        <f t="shared" si="0"/>
        <v>600</v>
      </c>
      <c r="AF6" s="265">
        <f t="shared" si="0"/>
        <v>600</v>
      </c>
      <c r="AG6" s="265">
        <f t="shared" si="0"/>
        <v>600</v>
      </c>
      <c r="AH6" s="265">
        <f>AG6/60*40</f>
        <v>400</v>
      </c>
      <c r="AI6" s="265">
        <f t="shared" si="0"/>
        <v>400</v>
      </c>
      <c r="AJ6" s="265">
        <f t="shared" si="0"/>
        <v>400</v>
      </c>
      <c r="AK6" s="265">
        <f t="shared" si="0"/>
        <v>400</v>
      </c>
      <c r="AL6" s="265">
        <f t="shared" si="0"/>
        <v>400</v>
      </c>
      <c r="AM6" s="93"/>
      <c r="AO6" s="70">
        <f>SUM(X6:AN6)</f>
        <v>8000</v>
      </c>
      <c r="AP6" s="342" t="s">
        <v>68</v>
      </c>
      <c r="AQ6" s="343"/>
      <c r="AR6" s="344">
        <f>'Mellemregning 2'!G31</f>
        <v>0</v>
      </c>
      <c r="AS6" s="344">
        <f aca="true" t="shared" si="1" ref="AS6:BF6">AR6</f>
        <v>0</v>
      </c>
      <c r="AT6" s="344">
        <f t="shared" si="1"/>
        <v>0</v>
      </c>
      <c r="AU6" s="344">
        <f t="shared" si="1"/>
        <v>0</v>
      </c>
      <c r="AV6" s="344">
        <f t="shared" si="1"/>
        <v>0</v>
      </c>
      <c r="AW6" s="344">
        <f t="shared" si="1"/>
        <v>0</v>
      </c>
      <c r="AX6" s="344">
        <f t="shared" si="1"/>
        <v>0</v>
      </c>
      <c r="AY6" s="344">
        <f t="shared" si="1"/>
        <v>0</v>
      </c>
      <c r="AZ6" s="344">
        <f t="shared" si="1"/>
        <v>0</v>
      </c>
      <c r="BA6" s="344">
        <f t="shared" si="1"/>
        <v>0</v>
      </c>
      <c r="BB6" s="344">
        <f>BA6/60*40</f>
        <v>0</v>
      </c>
      <c r="BC6" s="344">
        <f t="shared" si="1"/>
        <v>0</v>
      </c>
      <c r="BD6" s="344">
        <f t="shared" si="1"/>
        <v>0</v>
      </c>
      <c r="BE6" s="344">
        <f t="shared" si="1"/>
        <v>0</v>
      </c>
      <c r="BF6" s="344">
        <f t="shared" si="1"/>
        <v>0</v>
      </c>
      <c r="BG6" s="87"/>
      <c r="BJ6" s="90" t="s">
        <v>68</v>
      </c>
      <c r="BK6" s="91"/>
      <c r="BL6" s="92">
        <f>'Mellemregning 2'!G15</f>
        <v>600</v>
      </c>
      <c r="BM6" s="92">
        <f aca="true" t="shared" si="2" ref="BM6:BZ6">BL6</f>
        <v>600</v>
      </c>
      <c r="BN6" s="92">
        <f t="shared" si="2"/>
        <v>600</v>
      </c>
      <c r="BO6" s="92">
        <f t="shared" si="2"/>
        <v>600</v>
      </c>
      <c r="BP6" s="92">
        <f t="shared" si="2"/>
        <v>600</v>
      </c>
      <c r="BQ6" s="92">
        <f t="shared" si="2"/>
        <v>600</v>
      </c>
      <c r="BR6" s="92">
        <f t="shared" si="2"/>
        <v>600</v>
      </c>
      <c r="BS6" s="92">
        <f t="shared" si="2"/>
        <v>600</v>
      </c>
      <c r="BT6" s="92">
        <f t="shared" si="2"/>
        <v>600</v>
      </c>
      <c r="BU6" s="92">
        <f t="shared" si="2"/>
        <v>600</v>
      </c>
      <c r="BV6" s="92">
        <f>BU6/60*40</f>
        <v>400</v>
      </c>
      <c r="BW6" s="92">
        <f t="shared" si="2"/>
        <v>400</v>
      </c>
      <c r="BX6" s="92">
        <f t="shared" si="2"/>
        <v>400</v>
      </c>
      <c r="BY6" s="92">
        <f t="shared" si="2"/>
        <v>400</v>
      </c>
      <c r="BZ6" s="92">
        <f t="shared" si="2"/>
        <v>400</v>
      </c>
      <c r="CA6" s="93"/>
      <c r="CD6" s="90" t="s">
        <v>68</v>
      </c>
      <c r="CE6" s="91"/>
      <c r="CF6" s="92">
        <f>'Mellemregning 2'!G15</f>
        <v>600</v>
      </c>
      <c r="CG6" s="92">
        <f aca="true" t="shared" si="3" ref="CG6:CT6">CF6</f>
        <v>600</v>
      </c>
      <c r="CH6" s="92">
        <f t="shared" si="3"/>
        <v>600</v>
      </c>
      <c r="CI6" s="92">
        <f t="shared" si="3"/>
        <v>600</v>
      </c>
      <c r="CJ6" s="92">
        <f t="shared" si="3"/>
        <v>600</v>
      </c>
      <c r="CK6" s="92">
        <f t="shared" si="3"/>
        <v>600</v>
      </c>
      <c r="CL6" s="92">
        <f t="shared" si="3"/>
        <v>600</v>
      </c>
      <c r="CM6" s="92">
        <f t="shared" si="3"/>
        <v>600</v>
      </c>
      <c r="CN6" s="92">
        <f t="shared" si="3"/>
        <v>600</v>
      </c>
      <c r="CO6" s="92">
        <f t="shared" si="3"/>
        <v>600</v>
      </c>
      <c r="CP6" s="92">
        <f>CO6/60*40</f>
        <v>400</v>
      </c>
      <c r="CQ6" s="92">
        <f t="shared" si="3"/>
        <v>400</v>
      </c>
      <c r="CR6" s="92">
        <f t="shared" si="3"/>
        <v>400</v>
      </c>
      <c r="CS6" s="92">
        <f t="shared" si="3"/>
        <v>400</v>
      </c>
      <c r="CT6" s="92">
        <f t="shared" si="3"/>
        <v>400</v>
      </c>
      <c r="CU6" s="93"/>
      <c r="CX6" s="90" t="s">
        <v>68</v>
      </c>
      <c r="CY6" s="91"/>
      <c r="CZ6" s="92">
        <f>'Mellemregning 2'!G49</f>
        <v>1620</v>
      </c>
      <c r="DA6" s="92">
        <f aca="true" t="shared" si="4" ref="DA6:DN6">CZ6</f>
        <v>1620</v>
      </c>
      <c r="DB6" s="92">
        <f t="shared" si="4"/>
        <v>1620</v>
      </c>
      <c r="DC6" s="92">
        <f t="shared" si="4"/>
        <v>1620</v>
      </c>
      <c r="DD6" s="92">
        <f t="shared" si="4"/>
        <v>1620</v>
      </c>
      <c r="DE6" s="92">
        <f t="shared" si="4"/>
        <v>1620</v>
      </c>
      <c r="DF6" s="92">
        <f t="shared" si="4"/>
        <v>1620</v>
      </c>
      <c r="DG6" s="92">
        <f t="shared" si="4"/>
        <v>1620</v>
      </c>
      <c r="DH6" s="92">
        <f t="shared" si="4"/>
        <v>1620</v>
      </c>
      <c r="DI6" s="92">
        <f t="shared" si="4"/>
        <v>1620</v>
      </c>
      <c r="DJ6" s="92">
        <f>DI6/60*40</f>
        <v>1080</v>
      </c>
      <c r="DK6" s="92">
        <f t="shared" si="4"/>
        <v>1080</v>
      </c>
      <c r="DL6" s="92">
        <f t="shared" si="4"/>
        <v>1080</v>
      </c>
      <c r="DM6" s="92">
        <f t="shared" si="4"/>
        <v>1080</v>
      </c>
      <c r="DN6" s="92">
        <f t="shared" si="4"/>
        <v>1080</v>
      </c>
      <c r="DO6" s="93"/>
      <c r="DQ6" s="70">
        <f>SUM(CZ6:DP6)</f>
        <v>21600</v>
      </c>
    </row>
    <row r="7" spans="1:119" ht="18.75" customHeight="1">
      <c r="A7" s="72"/>
      <c r="B7" s="405" t="s">
        <v>239</v>
      </c>
      <c r="C7" s="405"/>
      <c r="D7" s="405"/>
      <c r="E7" s="405"/>
      <c r="F7" s="405"/>
      <c r="G7" s="72"/>
      <c r="H7" s="419" t="s">
        <v>74</v>
      </c>
      <c r="I7" s="419"/>
      <c r="J7" s="419"/>
      <c r="K7" s="419"/>
      <c r="L7" s="419"/>
      <c r="M7" s="419"/>
      <c r="N7" s="419"/>
      <c r="O7" s="419"/>
      <c r="P7" s="80"/>
      <c r="Q7" s="72"/>
      <c r="U7" s="89"/>
      <c r="V7" s="354" t="s">
        <v>128</v>
      </c>
      <c r="W7" s="217"/>
      <c r="X7" s="265">
        <f>'Mellemregning 2'!G13</f>
        <v>9000</v>
      </c>
      <c r="Y7" s="266">
        <f>X7</f>
        <v>9000</v>
      </c>
      <c r="Z7" s="266">
        <f t="shared" si="0"/>
        <v>9000</v>
      </c>
      <c r="AA7" s="266">
        <f t="shared" si="0"/>
        <v>9000</v>
      </c>
      <c r="AB7" s="266">
        <f t="shared" si="0"/>
        <v>9000</v>
      </c>
      <c r="AC7" s="266">
        <f t="shared" si="0"/>
        <v>9000</v>
      </c>
      <c r="AD7" s="266">
        <f t="shared" si="0"/>
        <v>9000</v>
      </c>
      <c r="AE7" s="266">
        <f t="shared" si="0"/>
        <v>9000</v>
      </c>
      <c r="AF7" s="266">
        <f>AE7</f>
        <v>9000</v>
      </c>
      <c r="AG7" s="266">
        <f>AF7/60*40</f>
        <v>6000</v>
      </c>
      <c r="AH7" s="266">
        <f t="shared" si="0"/>
        <v>6000</v>
      </c>
      <c r="AI7" s="266">
        <f t="shared" si="0"/>
        <v>6000</v>
      </c>
      <c r="AJ7" s="266">
        <f t="shared" si="0"/>
        <v>6000</v>
      </c>
      <c r="AK7" s="266">
        <f t="shared" si="0"/>
        <v>6000</v>
      </c>
      <c r="AL7" s="266">
        <f t="shared" si="0"/>
        <v>6000</v>
      </c>
      <c r="AM7" s="93"/>
      <c r="AP7" s="345" t="s">
        <v>109</v>
      </c>
      <c r="AQ7" s="91"/>
      <c r="AR7" s="212">
        <f>'Mellemregning 2'!G29</f>
        <v>8606.25</v>
      </c>
      <c r="AS7" s="56">
        <f aca="true" t="shared" si="5" ref="AS7:BF7">AR7</f>
        <v>8606.25</v>
      </c>
      <c r="AT7" s="56">
        <f t="shared" si="5"/>
        <v>8606.25</v>
      </c>
      <c r="AU7" s="56">
        <f t="shared" si="5"/>
        <v>8606.25</v>
      </c>
      <c r="AV7" s="56">
        <f t="shared" si="5"/>
        <v>8606.25</v>
      </c>
      <c r="AW7" s="56">
        <f t="shared" si="5"/>
        <v>8606.25</v>
      </c>
      <c r="AX7" s="56">
        <f t="shared" si="5"/>
        <v>8606.25</v>
      </c>
      <c r="AY7" s="56">
        <f t="shared" si="5"/>
        <v>8606.25</v>
      </c>
      <c r="AZ7" s="56">
        <f t="shared" si="5"/>
        <v>8606.25</v>
      </c>
      <c r="BA7" s="56">
        <f t="shared" si="5"/>
        <v>8606.25</v>
      </c>
      <c r="BB7" s="56">
        <f>BA7/60*40</f>
        <v>5737.5</v>
      </c>
      <c r="BC7" s="56">
        <f t="shared" si="5"/>
        <v>5737.5</v>
      </c>
      <c r="BD7" s="56">
        <f t="shared" si="5"/>
        <v>5737.5</v>
      </c>
      <c r="BE7" s="56">
        <f t="shared" si="5"/>
        <v>5737.5</v>
      </c>
      <c r="BF7" s="56">
        <f t="shared" si="5"/>
        <v>5737.5</v>
      </c>
      <c r="BG7" s="93"/>
      <c r="BJ7" s="90" t="s">
        <v>109</v>
      </c>
      <c r="BK7" s="91"/>
      <c r="BL7" s="92">
        <f>'Mellemregning 2'!G13</f>
        <v>9000</v>
      </c>
      <c r="BM7" s="94">
        <f aca="true" t="shared" si="6" ref="BM7:BZ7">BL7</f>
        <v>9000</v>
      </c>
      <c r="BN7" s="94">
        <f t="shared" si="6"/>
        <v>9000</v>
      </c>
      <c r="BO7" s="94">
        <f t="shared" si="6"/>
        <v>9000</v>
      </c>
      <c r="BP7" s="94">
        <f t="shared" si="6"/>
        <v>9000</v>
      </c>
      <c r="BQ7" s="94">
        <f t="shared" si="6"/>
        <v>9000</v>
      </c>
      <c r="BR7" s="94">
        <f t="shared" si="6"/>
        <v>9000</v>
      </c>
      <c r="BS7" s="94">
        <f t="shared" si="6"/>
        <v>9000</v>
      </c>
      <c r="BT7" s="94">
        <f t="shared" si="6"/>
        <v>9000</v>
      </c>
      <c r="BU7" s="94">
        <f>BT7</f>
        <v>9000</v>
      </c>
      <c r="BV7" s="94">
        <f>BU7/60*40</f>
        <v>6000</v>
      </c>
      <c r="BW7" s="94">
        <f t="shared" si="6"/>
        <v>6000</v>
      </c>
      <c r="BX7" s="94">
        <f t="shared" si="6"/>
        <v>6000</v>
      </c>
      <c r="BY7" s="94">
        <f t="shared" si="6"/>
        <v>6000</v>
      </c>
      <c r="BZ7" s="94">
        <f t="shared" si="6"/>
        <v>6000</v>
      </c>
      <c r="CA7" s="93"/>
      <c r="CD7" s="90" t="s">
        <v>109</v>
      </c>
      <c r="CE7" s="91"/>
      <c r="CF7" s="92">
        <f>'Mellemregning 2'!G13</f>
        <v>9000</v>
      </c>
      <c r="CG7" s="94">
        <f aca="true" t="shared" si="7" ref="CG7:CT7">CF7</f>
        <v>9000</v>
      </c>
      <c r="CH7" s="94">
        <f t="shared" si="7"/>
        <v>9000</v>
      </c>
      <c r="CI7" s="94">
        <f t="shared" si="7"/>
        <v>9000</v>
      </c>
      <c r="CJ7" s="94">
        <f t="shared" si="7"/>
        <v>9000</v>
      </c>
      <c r="CK7" s="94">
        <f t="shared" si="7"/>
        <v>9000</v>
      </c>
      <c r="CL7" s="94">
        <f t="shared" si="7"/>
        <v>9000</v>
      </c>
      <c r="CM7" s="94">
        <f t="shared" si="7"/>
        <v>9000</v>
      </c>
      <c r="CN7" s="94">
        <f t="shared" si="7"/>
        <v>9000</v>
      </c>
      <c r="CO7" s="94">
        <f t="shared" si="7"/>
        <v>9000</v>
      </c>
      <c r="CP7" s="94">
        <f>CO7/60*40</f>
        <v>6000</v>
      </c>
      <c r="CQ7" s="94">
        <f t="shared" si="7"/>
        <v>6000</v>
      </c>
      <c r="CR7" s="94">
        <f t="shared" si="7"/>
        <v>6000</v>
      </c>
      <c r="CS7" s="94">
        <f t="shared" si="7"/>
        <v>6000</v>
      </c>
      <c r="CT7" s="94">
        <f t="shared" si="7"/>
        <v>6000</v>
      </c>
      <c r="CU7" s="93"/>
      <c r="CX7" s="90" t="s">
        <v>109</v>
      </c>
      <c r="CY7" s="91"/>
      <c r="CZ7" s="92">
        <f>'Mellemregning 2'!C47</f>
        <v>9000</v>
      </c>
      <c r="DA7" s="94">
        <f aca="true" t="shared" si="8" ref="DA7:DN7">CZ7</f>
        <v>9000</v>
      </c>
      <c r="DB7" s="94">
        <f t="shared" si="8"/>
        <v>9000</v>
      </c>
      <c r="DC7" s="94">
        <f t="shared" si="8"/>
        <v>9000</v>
      </c>
      <c r="DD7" s="94">
        <f t="shared" si="8"/>
        <v>9000</v>
      </c>
      <c r="DE7" s="94">
        <f t="shared" si="8"/>
        <v>9000</v>
      </c>
      <c r="DF7" s="94">
        <f t="shared" si="8"/>
        <v>9000</v>
      </c>
      <c r="DG7" s="94">
        <f t="shared" si="8"/>
        <v>9000</v>
      </c>
      <c r="DH7" s="94">
        <f t="shared" si="8"/>
        <v>9000</v>
      </c>
      <c r="DI7" s="94">
        <f t="shared" si="8"/>
        <v>9000</v>
      </c>
      <c r="DJ7" s="94">
        <f>DI7/60*40</f>
        <v>6000</v>
      </c>
      <c r="DK7" s="94">
        <f t="shared" si="8"/>
        <v>6000</v>
      </c>
      <c r="DL7" s="94">
        <f t="shared" si="8"/>
        <v>6000</v>
      </c>
      <c r="DM7" s="94">
        <f t="shared" si="8"/>
        <v>6000</v>
      </c>
      <c r="DN7" s="94">
        <f t="shared" si="8"/>
        <v>6000</v>
      </c>
      <c r="DO7" s="93"/>
    </row>
    <row r="8" spans="1:119" ht="18.75" customHeight="1">
      <c r="A8" s="72"/>
      <c r="B8" s="405" t="s">
        <v>240</v>
      </c>
      <c r="C8" s="405"/>
      <c r="D8" s="405"/>
      <c r="E8" s="405"/>
      <c r="F8" s="405"/>
      <c r="G8" s="72"/>
      <c r="H8" s="419"/>
      <c r="I8" s="419"/>
      <c r="J8" s="419"/>
      <c r="K8" s="419"/>
      <c r="L8" s="419"/>
      <c r="M8" s="419"/>
      <c r="N8" s="419"/>
      <c r="O8" s="419"/>
      <c r="P8" s="80"/>
      <c r="Q8" s="72"/>
      <c r="U8" s="89"/>
      <c r="V8" s="354" t="s">
        <v>136</v>
      </c>
      <c r="W8" s="217"/>
      <c r="X8" s="265">
        <f>'Mellemregning 2'!E9</f>
        <v>1000</v>
      </c>
      <c r="Y8" s="266">
        <f aca="true" t="shared" si="9" ref="Y8:AL8">X8+X8*$C$41</f>
        <v>1050</v>
      </c>
      <c r="Z8" s="266">
        <f t="shared" si="9"/>
        <v>1102.5</v>
      </c>
      <c r="AA8" s="266">
        <f t="shared" si="9"/>
        <v>1157.625</v>
      </c>
      <c r="AB8" s="266">
        <f t="shared" si="9"/>
        <v>1215.50625</v>
      </c>
      <c r="AC8" s="266">
        <f t="shared" si="9"/>
        <v>1276.2815624999998</v>
      </c>
      <c r="AD8" s="266">
        <f t="shared" si="9"/>
        <v>1340.0956406249998</v>
      </c>
      <c r="AE8" s="266">
        <f t="shared" si="9"/>
        <v>1407.1004226562497</v>
      </c>
      <c r="AF8" s="266">
        <f t="shared" si="9"/>
        <v>1477.4554437890622</v>
      </c>
      <c r="AG8" s="266">
        <f t="shared" si="9"/>
        <v>1551.3282159785153</v>
      </c>
      <c r="AH8" s="266">
        <f t="shared" si="9"/>
        <v>1628.894626777441</v>
      </c>
      <c r="AI8" s="266">
        <f t="shared" si="9"/>
        <v>1710.3393581163132</v>
      </c>
      <c r="AJ8" s="266">
        <f t="shared" si="9"/>
        <v>1795.8563260221288</v>
      </c>
      <c r="AK8" s="266">
        <f t="shared" si="9"/>
        <v>1885.6491423232353</v>
      </c>
      <c r="AL8" s="266">
        <f t="shared" si="9"/>
        <v>1979.9315994393971</v>
      </c>
      <c r="AM8" s="93"/>
      <c r="AP8" s="345" t="str">
        <f>V8</f>
        <v>Sparet indkøb af el til erhverv</v>
      </c>
      <c r="AQ8" s="90"/>
      <c r="AR8" s="210">
        <f>'Mellemregning 2'!G25</f>
        <v>956.25</v>
      </c>
      <c r="AS8" s="210">
        <f aca="true" t="shared" si="10" ref="AS8:BF8">Y8</f>
        <v>1050</v>
      </c>
      <c r="AT8" s="210">
        <f t="shared" si="10"/>
        <v>1102.5</v>
      </c>
      <c r="AU8" s="210">
        <f t="shared" si="10"/>
        <v>1157.625</v>
      </c>
      <c r="AV8" s="210">
        <f t="shared" si="10"/>
        <v>1215.50625</v>
      </c>
      <c r="AW8" s="210">
        <f t="shared" si="10"/>
        <v>1276.2815624999998</v>
      </c>
      <c r="AX8" s="210">
        <f t="shared" si="10"/>
        <v>1340.0956406249998</v>
      </c>
      <c r="AY8" s="210">
        <f t="shared" si="10"/>
        <v>1407.1004226562497</v>
      </c>
      <c r="AZ8" s="210">
        <f t="shared" si="10"/>
        <v>1477.4554437890622</v>
      </c>
      <c r="BA8" s="210">
        <f t="shared" si="10"/>
        <v>1551.3282159785153</v>
      </c>
      <c r="BB8" s="210">
        <f t="shared" si="10"/>
        <v>1628.894626777441</v>
      </c>
      <c r="BC8" s="210">
        <f t="shared" si="10"/>
        <v>1710.3393581163132</v>
      </c>
      <c r="BD8" s="210">
        <f t="shared" si="10"/>
        <v>1795.8563260221288</v>
      </c>
      <c r="BE8" s="210">
        <f t="shared" si="10"/>
        <v>1885.6491423232353</v>
      </c>
      <c r="BF8" s="210">
        <f t="shared" si="10"/>
        <v>1979.9315994393971</v>
      </c>
      <c r="BG8" s="93"/>
      <c r="BJ8" s="90" t="str">
        <f>AP8</f>
        <v>Sparet indkøb af el til erhverv</v>
      </c>
      <c r="BK8" s="91"/>
      <c r="BL8" s="92">
        <f>'Mellemregning 2'!E9</f>
        <v>1000</v>
      </c>
      <c r="BM8" s="94">
        <f aca="true" t="shared" si="11" ref="BM8:BZ8">BL8+BL8*($C$41-2%)</f>
        <v>1030</v>
      </c>
      <c r="BN8" s="94">
        <f t="shared" si="11"/>
        <v>1060.9</v>
      </c>
      <c r="BO8" s="94">
        <f t="shared" si="11"/>
        <v>1092.727</v>
      </c>
      <c r="BP8" s="94">
        <f t="shared" si="11"/>
        <v>1125.50881</v>
      </c>
      <c r="BQ8" s="94">
        <f t="shared" si="11"/>
        <v>1159.2740743</v>
      </c>
      <c r="BR8" s="94">
        <f t="shared" si="11"/>
        <v>1194.052296529</v>
      </c>
      <c r="BS8" s="94">
        <f t="shared" si="11"/>
        <v>1229.87386542487</v>
      </c>
      <c r="BT8" s="94">
        <f t="shared" si="11"/>
        <v>1266.770081387616</v>
      </c>
      <c r="BU8" s="94">
        <f t="shared" si="11"/>
        <v>1304.7731838292445</v>
      </c>
      <c r="BV8" s="94">
        <f t="shared" si="11"/>
        <v>1343.9163793441219</v>
      </c>
      <c r="BW8" s="94">
        <f t="shared" si="11"/>
        <v>1384.2338707244455</v>
      </c>
      <c r="BX8" s="94">
        <f t="shared" si="11"/>
        <v>1425.760886846179</v>
      </c>
      <c r="BY8" s="94">
        <f t="shared" si="11"/>
        <v>1468.5337134515642</v>
      </c>
      <c r="BZ8" s="94">
        <f t="shared" si="11"/>
        <v>1512.5897248551112</v>
      </c>
      <c r="CA8" s="93"/>
      <c r="CD8" s="90" t="str">
        <f>BJ8</f>
        <v>Sparet indkøb af el til erhverv</v>
      </c>
      <c r="CE8" s="91"/>
      <c r="CF8" s="92">
        <f>'Mellemregning 2'!E9</f>
        <v>1000</v>
      </c>
      <c r="CG8" s="281">
        <f>CF8+CF8*$C$41</f>
        <v>1050</v>
      </c>
      <c r="CH8" s="281">
        <f aca="true" t="shared" si="12" ref="CH8:CT8">CG8+CG8*$C$41</f>
        <v>1102.5</v>
      </c>
      <c r="CI8" s="281">
        <f t="shared" si="12"/>
        <v>1157.625</v>
      </c>
      <c r="CJ8" s="281">
        <f t="shared" si="12"/>
        <v>1215.50625</v>
      </c>
      <c r="CK8" s="281">
        <f t="shared" si="12"/>
        <v>1276.2815624999998</v>
      </c>
      <c r="CL8" s="281">
        <f t="shared" si="12"/>
        <v>1340.0956406249998</v>
      </c>
      <c r="CM8" s="281">
        <f t="shared" si="12"/>
        <v>1407.1004226562497</v>
      </c>
      <c r="CN8" s="281">
        <f t="shared" si="12"/>
        <v>1477.4554437890622</v>
      </c>
      <c r="CO8" s="281">
        <f t="shared" si="12"/>
        <v>1551.3282159785153</v>
      </c>
      <c r="CP8" s="281">
        <f t="shared" si="12"/>
        <v>1628.894626777441</v>
      </c>
      <c r="CQ8" s="281">
        <f t="shared" si="12"/>
        <v>1710.3393581163132</v>
      </c>
      <c r="CR8" s="281">
        <f t="shared" si="12"/>
        <v>1795.8563260221288</v>
      </c>
      <c r="CS8" s="281">
        <f t="shared" si="12"/>
        <v>1885.6491423232353</v>
      </c>
      <c r="CT8" s="281">
        <f t="shared" si="12"/>
        <v>1979.9315994393971</v>
      </c>
      <c r="CU8" s="93"/>
      <c r="CX8" s="90" t="str">
        <f>CD8</f>
        <v>Sparet indkøb af el til erhverv</v>
      </c>
      <c r="CY8" s="91"/>
      <c r="CZ8" s="92">
        <f>'Mellemregning 2'!E43</f>
        <v>-1000</v>
      </c>
      <c r="DA8" s="281">
        <f>CZ8+CZ8*$C$41</f>
        <v>-1050</v>
      </c>
      <c r="DB8" s="281">
        <f aca="true" t="shared" si="13" ref="DB8:DN8">DA8+DA8*$C$41</f>
        <v>-1102.5</v>
      </c>
      <c r="DC8" s="281">
        <f t="shared" si="13"/>
        <v>-1157.625</v>
      </c>
      <c r="DD8" s="281">
        <f t="shared" si="13"/>
        <v>-1215.50625</v>
      </c>
      <c r="DE8" s="281">
        <f t="shared" si="13"/>
        <v>-1276.2815624999998</v>
      </c>
      <c r="DF8" s="281">
        <f t="shared" si="13"/>
        <v>-1340.0956406249998</v>
      </c>
      <c r="DG8" s="281">
        <f t="shared" si="13"/>
        <v>-1407.1004226562497</v>
      </c>
      <c r="DH8" s="281">
        <f t="shared" si="13"/>
        <v>-1477.4554437890622</v>
      </c>
      <c r="DI8" s="281">
        <f t="shared" si="13"/>
        <v>-1551.3282159785153</v>
      </c>
      <c r="DJ8" s="281">
        <f t="shared" si="13"/>
        <v>-1628.894626777441</v>
      </c>
      <c r="DK8" s="281">
        <f t="shared" si="13"/>
        <v>-1710.3393581163132</v>
      </c>
      <c r="DL8" s="281">
        <f t="shared" si="13"/>
        <v>-1795.8563260221288</v>
      </c>
      <c r="DM8" s="281">
        <f t="shared" si="13"/>
        <v>-1885.6491423232353</v>
      </c>
      <c r="DN8" s="281">
        <f t="shared" si="13"/>
        <v>-1979.9315994393971</v>
      </c>
      <c r="DO8" s="93"/>
    </row>
    <row r="9" spans="1:119" ht="18.75" customHeight="1">
      <c r="A9" s="72"/>
      <c r="B9" s="96"/>
      <c r="C9" s="96"/>
      <c r="D9" s="96"/>
      <c r="E9" s="96"/>
      <c r="F9" s="96"/>
      <c r="G9" s="73"/>
      <c r="H9" s="73"/>
      <c r="I9" s="73"/>
      <c r="J9" s="73"/>
      <c r="K9" s="74"/>
      <c r="L9" s="74"/>
      <c r="M9" s="74"/>
      <c r="N9" s="73"/>
      <c r="O9" s="97"/>
      <c r="P9" s="74"/>
      <c r="Q9" s="73"/>
      <c r="U9" s="89"/>
      <c r="V9" s="354" t="s">
        <v>7</v>
      </c>
      <c r="W9" s="217"/>
      <c r="X9" s="266">
        <f>-C48</f>
        <v>-5000</v>
      </c>
      <c r="Y9" s="266">
        <f>X9+(X9*$C$50)</f>
        <v>-5100</v>
      </c>
      <c r="Z9" s="266">
        <f aca="true" t="shared" si="14" ref="Z9:AL9">Y9+(Y9*$C$50)</f>
        <v>-5202</v>
      </c>
      <c r="AA9" s="266">
        <f t="shared" si="14"/>
        <v>-5306.04</v>
      </c>
      <c r="AB9" s="266">
        <f t="shared" si="14"/>
        <v>-5412.1608</v>
      </c>
      <c r="AC9" s="266">
        <f t="shared" si="14"/>
        <v>-5520.4040159999995</v>
      </c>
      <c r="AD9" s="266">
        <f t="shared" si="14"/>
        <v>-5630.81209632</v>
      </c>
      <c r="AE9" s="266">
        <f t="shared" si="14"/>
        <v>-5743.4283382464</v>
      </c>
      <c r="AF9" s="266">
        <f t="shared" si="14"/>
        <v>-5858.296905011328</v>
      </c>
      <c r="AG9" s="266">
        <f t="shared" si="14"/>
        <v>-5975.462843111554</v>
      </c>
      <c r="AH9" s="266">
        <f t="shared" si="14"/>
        <v>-6094.972099973786</v>
      </c>
      <c r="AI9" s="266">
        <f t="shared" si="14"/>
        <v>-6216.871541973262</v>
      </c>
      <c r="AJ9" s="266">
        <f t="shared" si="14"/>
        <v>-6341.208972812727</v>
      </c>
      <c r="AK9" s="266">
        <f t="shared" si="14"/>
        <v>-6468.033152268981</v>
      </c>
      <c r="AL9" s="266">
        <f t="shared" si="14"/>
        <v>-6597.393815314361</v>
      </c>
      <c r="AM9" s="93"/>
      <c r="AP9" s="346" t="s">
        <v>7</v>
      </c>
      <c r="AQ9" s="91"/>
      <c r="AR9" s="56">
        <f>X9</f>
        <v>-5000</v>
      </c>
      <c r="AS9" s="56">
        <f aca="true" t="shared" si="15" ref="AS9:BF9">AR9+(AR9*$C$50)</f>
        <v>-5100</v>
      </c>
      <c r="AT9" s="56">
        <f t="shared" si="15"/>
        <v>-5202</v>
      </c>
      <c r="AU9" s="56">
        <f t="shared" si="15"/>
        <v>-5306.04</v>
      </c>
      <c r="AV9" s="56">
        <f t="shared" si="15"/>
        <v>-5412.1608</v>
      </c>
      <c r="AW9" s="56">
        <f t="shared" si="15"/>
        <v>-5520.4040159999995</v>
      </c>
      <c r="AX9" s="56">
        <f t="shared" si="15"/>
        <v>-5630.81209632</v>
      </c>
      <c r="AY9" s="56">
        <f t="shared" si="15"/>
        <v>-5743.4283382464</v>
      </c>
      <c r="AZ9" s="56">
        <f t="shared" si="15"/>
        <v>-5858.296905011328</v>
      </c>
      <c r="BA9" s="56">
        <f t="shared" si="15"/>
        <v>-5975.462843111554</v>
      </c>
      <c r="BB9" s="56">
        <f t="shared" si="15"/>
        <v>-6094.972099973786</v>
      </c>
      <c r="BC9" s="56">
        <f t="shared" si="15"/>
        <v>-6216.871541973262</v>
      </c>
      <c r="BD9" s="56">
        <f t="shared" si="15"/>
        <v>-6341.208972812727</v>
      </c>
      <c r="BE9" s="56">
        <f t="shared" si="15"/>
        <v>-6468.033152268981</v>
      </c>
      <c r="BF9" s="56">
        <f t="shared" si="15"/>
        <v>-6597.393815314361</v>
      </c>
      <c r="BG9" s="93"/>
      <c r="BJ9" s="58" t="s">
        <v>7</v>
      </c>
      <c r="BK9" s="91"/>
      <c r="BL9" s="95">
        <f>X9</f>
        <v>-5000</v>
      </c>
      <c r="BM9" s="94">
        <f aca="true" t="shared" si="16" ref="BM9:BZ9">BL9+(BL9*$C$50)</f>
        <v>-5100</v>
      </c>
      <c r="BN9" s="94">
        <f t="shared" si="16"/>
        <v>-5202</v>
      </c>
      <c r="BO9" s="94">
        <f t="shared" si="16"/>
        <v>-5306.04</v>
      </c>
      <c r="BP9" s="94">
        <f t="shared" si="16"/>
        <v>-5412.1608</v>
      </c>
      <c r="BQ9" s="94">
        <f t="shared" si="16"/>
        <v>-5520.4040159999995</v>
      </c>
      <c r="BR9" s="94">
        <f t="shared" si="16"/>
        <v>-5630.81209632</v>
      </c>
      <c r="BS9" s="94">
        <f t="shared" si="16"/>
        <v>-5743.4283382464</v>
      </c>
      <c r="BT9" s="94">
        <f t="shared" si="16"/>
        <v>-5858.296905011328</v>
      </c>
      <c r="BU9" s="94">
        <f t="shared" si="16"/>
        <v>-5975.462843111554</v>
      </c>
      <c r="BV9" s="94">
        <f t="shared" si="16"/>
        <v>-6094.972099973786</v>
      </c>
      <c r="BW9" s="94">
        <f t="shared" si="16"/>
        <v>-6216.871541973262</v>
      </c>
      <c r="BX9" s="94">
        <f t="shared" si="16"/>
        <v>-6341.208972812727</v>
      </c>
      <c r="BY9" s="94">
        <f t="shared" si="16"/>
        <v>-6468.033152268981</v>
      </c>
      <c r="BZ9" s="94">
        <f t="shared" si="16"/>
        <v>-6597.393815314361</v>
      </c>
      <c r="CA9" s="93"/>
      <c r="CD9" s="58" t="s">
        <v>7</v>
      </c>
      <c r="CE9" s="91"/>
      <c r="CF9" s="95">
        <f>X9</f>
        <v>-5000</v>
      </c>
      <c r="CG9" s="94">
        <f aca="true" t="shared" si="17" ref="CG9:CT9">CF9+(CF9*$C$50)</f>
        <v>-5100</v>
      </c>
      <c r="CH9" s="94">
        <f t="shared" si="17"/>
        <v>-5202</v>
      </c>
      <c r="CI9" s="94">
        <f t="shared" si="17"/>
        <v>-5306.04</v>
      </c>
      <c r="CJ9" s="94">
        <f t="shared" si="17"/>
        <v>-5412.1608</v>
      </c>
      <c r="CK9" s="94">
        <f t="shared" si="17"/>
        <v>-5520.4040159999995</v>
      </c>
      <c r="CL9" s="94">
        <f t="shared" si="17"/>
        <v>-5630.81209632</v>
      </c>
      <c r="CM9" s="94">
        <f t="shared" si="17"/>
        <v>-5743.4283382464</v>
      </c>
      <c r="CN9" s="94">
        <f t="shared" si="17"/>
        <v>-5858.296905011328</v>
      </c>
      <c r="CO9" s="94">
        <f t="shared" si="17"/>
        <v>-5975.462843111554</v>
      </c>
      <c r="CP9" s="94">
        <f t="shared" si="17"/>
        <v>-6094.972099973786</v>
      </c>
      <c r="CQ9" s="94">
        <f t="shared" si="17"/>
        <v>-6216.871541973262</v>
      </c>
      <c r="CR9" s="94">
        <f t="shared" si="17"/>
        <v>-6341.208972812727</v>
      </c>
      <c r="CS9" s="94">
        <f t="shared" si="17"/>
        <v>-6468.033152268981</v>
      </c>
      <c r="CT9" s="94">
        <f t="shared" si="17"/>
        <v>-6597.393815314361</v>
      </c>
      <c r="CU9" s="93"/>
      <c r="CX9" s="58" t="s">
        <v>7</v>
      </c>
      <c r="CY9" s="91"/>
      <c r="CZ9" s="95">
        <f>CF9</f>
        <v>-5000</v>
      </c>
      <c r="DA9" s="94">
        <f aca="true" t="shared" si="18" ref="DA9:DN9">CZ9+(CZ9*$C$50)</f>
        <v>-5100</v>
      </c>
      <c r="DB9" s="94">
        <f t="shared" si="18"/>
        <v>-5202</v>
      </c>
      <c r="DC9" s="94">
        <f t="shared" si="18"/>
        <v>-5306.04</v>
      </c>
      <c r="DD9" s="94">
        <f t="shared" si="18"/>
        <v>-5412.1608</v>
      </c>
      <c r="DE9" s="94">
        <f t="shared" si="18"/>
        <v>-5520.4040159999995</v>
      </c>
      <c r="DF9" s="94">
        <f t="shared" si="18"/>
        <v>-5630.81209632</v>
      </c>
      <c r="DG9" s="94">
        <f t="shared" si="18"/>
        <v>-5743.4283382464</v>
      </c>
      <c r="DH9" s="94">
        <f t="shared" si="18"/>
        <v>-5858.296905011328</v>
      </c>
      <c r="DI9" s="94">
        <f t="shared" si="18"/>
        <v>-5975.462843111554</v>
      </c>
      <c r="DJ9" s="94">
        <f t="shared" si="18"/>
        <v>-6094.972099973786</v>
      </c>
      <c r="DK9" s="94">
        <f t="shared" si="18"/>
        <v>-6216.871541973262</v>
      </c>
      <c r="DL9" s="94">
        <f t="shared" si="18"/>
        <v>-6341.208972812727</v>
      </c>
      <c r="DM9" s="94">
        <f t="shared" si="18"/>
        <v>-6468.033152268981</v>
      </c>
      <c r="DN9" s="94">
        <f t="shared" si="18"/>
        <v>-6597.393815314361</v>
      </c>
      <c r="DO9" s="93"/>
    </row>
    <row r="10" spans="1:126" s="135" customFormat="1" ht="18.75" customHeight="1">
      <c r="A10" s="178"/>
      <c r="B10" s="178"/>
      <c r="C10" s="178"/>
      <c r="D10" s="101"/>
      <c r="E10" s="101"/>
      <c r="F10" s="101"/>
      <c r="G10" s="101"/>
      <c r="H10" s="101"/>
      <c r="I10" s="101"/>
      <c r="J10" s="101"/>
      <c r="K10" s="179"/>
      <c r="L10" s="179"/>
      <c r="M10" s="179"/>
      <c r="N10" s="180"/>
      <c r="O10" s="181"/>
      <c r="P10" s="179"/>
      <c r="Q10" s="180"/>
      <c r="R10" s="53"/>
      <c r="U10" s="182"/>
      <c r="V10" s="363" t="str">
        <f>J20</f>
        <v>Afskrivning </v>
      </c>
      <c r="W10" s="249"/>
      <c r="X10" s="65">
        <f>-Mellemregninger!D7</f>
        <v>-75000</v>
      </c>
      <c r="Y10" s="65">
        <f>-Mellemregninger!E7</f>
        <v>-56250</v>
      </c>
      <c r="Z10" s="65">
        <f>-Mellemregninger!F7</f>
        <v>-42187.5</v>
      </c>
      <c r="AA10" s="65">
        <f>-Mellemregninger!G7</f>
        <v>-31640.625</v>
      </c>
      <c r="AB10" s="65">
        <f>-Mellemregninger!H7</f>
        <v>-23730.46875</v>
      </c>
      <c r="AC10" s="65">
        <f>-Mellemregninger!I7</f>
        <v>-17797.8515625</v>
      </c>
      <c r="AD10" s="65">
        <f>-Mellemregninger!J7</f>
        <v>-13348.388671875</v>
      </c>
      <c r="AE10" s="65">
        <f>-Mellemregninger!K7</f>
        <v>-10011.29150390625</v>
      </c>
      <c r="AF10" s="65">
        <f>-Mellemregninger!L7</f>
        <v>-7508.4686279296875</v>
      </c>
      <c r="AG10" s="65">
        <f>-Mellemregninger!M7</f>
        <v>-5631.351470947266</v>
      </c>
      <c r="AH10" s="65">
        <f>-Mellemregninger!N7</f>
        <v>-4223.513603210449</v>
      </c>
      <c r="AI10" s="65">
        <f>-Mellemregninger!O7</f>
        <v>-3167.635202407837</v>
      </c>
      <c r="AJ10" s="65">
        <f>-Mellemregninger!P7</f>
        <v>-2375.7264018058777</v>
      </c>
      <c r="AK10" s="65">
        <f>-Mellemregninger!Q7</f>
        <v>-1781.7948013544083</v>
      </c>
      <c r="AL10" s="65">
        <f>-Mellemregninger!R7</f>
        <v>-1336.3461010158062</v>
      </c>
      <c r="AM10" s="93"/>
      <c r="AN10" s="53"/>
      <c r="AO10" s="53"/>
      <c r="AP10" s="347" t="str">
        <f>V10</f>
        <v>Afskrivning </v>
      </c>
      <c r="AQ10" s="99"/>
      <c r="AR10" s="54">
        <f>X10</f>
        <v>-75000</v>
      </c>
      <c r="AS10" s="54">
        <f>Y10</f>
        <v>-56250</v>
      </c>
      <c r="AT10" s="54">
        <f aca="true" t="shared" si="19" ref="AT10:BF10">Z10</f>
        <v>-42187.5</v>
      </c>
      <c r="AU10" s="54">
        <f t="shared" si="19"/>
        <v>-31640.625</v>
      </c>
      <c r="AV10" s="54">
        <f t="shared" si="19"/>
        <v>-23730.46875</v>
      </c>
      <c r="AW10" s="54">
        <f t="shared" si="19"/>
        <v>-17797.8515625</v>
      </c>
      <c r="AX10" s="54">
        <f t="shared" si="19"/>
        <v>-13348.388671875</v>
      </c>
      <c r="AY10" s="54">
        <f t="shared" si="19"/>
        <v>-10011.29150390625</v>
      </c>
      <c r="AZ10" s="54">
        <f t="shared" si="19"/>
        <v>-7508.4686279296875</v>
      </c>
      <c r="BA10" s="54">
        <f t="shared" si="19"/>
        <v>-5631.351470947266</v>
      </c>
      <c r="BB10" s="54">
        <f t="shared" si="19"/>
        <v>-4223.513603210449</v>
      </c>
      <c r="BC10" s="54">
        <f t="shared" si="19"/>
        <v>-3167.635202407837</v>
      </c>
      <c r="BD10" s="54">
        <f t="shared" si="19"/>
        <v>-2375.7264018058777</v>
      </c>
      <c r="BE10" s="54">
        <f t="shared" si="19"/>
        <v>-1781.7948013544083</v>
      </c>
      <c r="BF10" s="54">
        <f t="shared" si="19"/>
        <v>-1336.3461010158062</v>
      </c>
      <c r="BG10" s="93"/>
      <c r="BH10" s="53"/>
      <c r="BI10" s="53"/>
      <c r="BJ10" s="98" t="str">
        <f>V10</f>
        <v>Afskrivning </v>
      </c>
      <c r="BK10" s="99"/>
      <c r="BL10" s="100">
        <f>X10</f>
        <v>-75000</v>
      </c>
      <c r="BM10" s="100">
        <f aca="true" t="shared" si="20" ref="BM10:BZ10">Y10</f>
        <v>-56250</v>
      </c>
      <c r="BN10" s="100">
        <f t="shared" si="20"/>
        <v>-42187.5</v>
      </c>
      <c r="BO10" s="100">
        <f t="shared" si="20"/>
        <v>-31640.625</v>
      </c>
      <c r="BP10" s="100">
        <f t="shared" si="20"/>
        <v>-23730.46875</v>
      </c>
      <c r="BQ10" s="100">
        <f t="shared" si="20"/>
        <v>-17797.8515625</v>
      </c>
      <c r="BR10" s="100">
        <f t="shared" si="20"/>
        <v>-13348.388671875</v>
      </c>
      <c r="BS10" s="100">
        <f t="shared" si="20"/>
        <v>-10011.29150390625</v>
      </c>
      <c r="BT10" s="100">
        <f t="shared" si="20"/>
        <v>-7508.4686279296875</v>
      </c>
      <c r="BU10" s="100">
        <f t="shared" si="20"/>
        <v>-5631.351470947266</v>
      </c>
      <c r="BV10" s="100">
        <f t="shared" si="20"/>
        <v>-4223.513603210449</v>
      </c>
      <c r="BW10" s="100">
        <f t="shared" si="20"/>
        <v>-3167.635202407837</v>
      </c>
      <c r="BX10" s="100">
        <f t="shared" si="20"/>
        <v>-2375.7264018058777</v>
      </c>
      <c r="BY10" s="100">
        <f t="shared" si="20"/>
        <v>-1781.7948013544083</v>
      </c>
      <c r="BZ10" s="100">
        <f t="shared" si="20"/>
        <v>-1336.3461010158062</v>
      </c>
      <c r="CA10" s="93"/>
      <c r="CB10" s="53"/>
      <c r="CC10" s="53"/>
      <c r="CD10" s="98" t="str">
        <f>BJ10</f>
        <v>Afskrivning </v>
      </c>
      <c r="CE10" s="99"/>
      <c r="CF10" s="100">
        <f>BL10</f>
        <v>-75000</v>
      </c>
      <c r="CG10" s="100">
        <f aca="true" t="shared" si="21" ref="CG10:CT10">BM10</f>
        <v>-56250</v>
      </c>
      <c r="CH10" s="100">
        <f t="shared" si="21"/>
        <v>-42187.5</v>
      </c>
      <c r="CI10" s="100">
        <f t="shared" si="21"/>
        <v>-31640.625</v>
      </c>
      <c r="CJ10" s="100">
        <f t="shared" si="21"/>
        <v>-23730.46875</v>
      </c>
      <c r="CK10" s="100">
        <f t="shared" si="21"/>
        <v>-17797.8515625</v>
      </c>
      <c r="CL10" s="100">
        <f t="shared" si="21"/>
        <v>-13348.388671875</v>
      </c>
      <c r="CM10" s="100">
        <f t="shared" si="21"/>
        <v>-10011.29150390625</v>
      </c>
      <c r="CN10" s="100">
        <f t="shared" si="21"/>
        <v>-7508.4686279296875</v>
      </c>
      <c r="CO10" s="100">
        <f t="shared" si="21"/>
        <v>-5631.351470947266</v>
      </c>
      <c r="CP10" s="100">
        <f t="shared" si="21"/>
        <v>-4223.513603210449</v>
      </c>
      <c r="CQ10" s="100">
        <f t="shared" si="21"/>
        <v>-3167.635202407837</v>
      </c>
      <c r="CR10" s="100">
        <f t="shared" si="21"/>
        <v>-2375.7264018058777</v>
      </c>
      <c r="CS10" s="100">
        <f t="shared" si="21"/>
        <v>-1781.7948013544083</v>
      </c>
      <c r="CT10" s="100">
        <f t="shared" si="21"/>
        <v>-1336.3461010158062</v>
      </c>
      <c r="CU10" s="93"/>
      <c r="CV10" s="53"/>
      <c r="CW10" s="53"/>
      <c r="CX10" s="98" t="str">
        <f>CD10</f>
        <v>Afskrivning </v>
      </c>
      <c r="CY10" s="99"/>
      <c r="CZ10" s="100">
        <f>CF10</f>
        <v>-75000</v>
      </c>
      <c r="DA10" s="100">
        <f aca="true" t="shared" si="22" ref="DA10:DN10">CG10</f>
        <v>-56250</v>
      </c>
      <c r="DB10" s="100">
        <f t="shared" si="22"/>
        <v>-42187.5</v>
      </c>
      <c r="DC10" s="100">
        <f t="shared" si="22"/>
        <v>-31640.625</v>
      </c>
      <c r="DD10" s="100">
        <f t="shared" si="22"/>
        <v>-23730.46875</v>
      </c>
      <c r="DE10" s="100">
        <f t="shared" si="22"/>
        <v>-17797.8515625</v>
      </c>
      <c r="DF10" s="100">
        <f t="shared" si="22"/>
        <v>-13348.388671875</v>
      </c>
      <c r="DG10" s="100">
        <f t="shared" si="22"/>
        <v>-10011.29150390625</v>
      </c>
      <c r="DH10" s="100">
        <f t="shared" si="22"/>
        <v>-7508.4686279296875</v>
      </c>
      <c r="DI10" s="100">
        <f t="shared" si="22"/>
        <v>-5631.351470947266</v>
      </c>
      <c r="DJ10" s="100">
        <f t="shared" si="22"/>
        <v>-4223.513603210449</v>
      </c>
      <c r="DK10" s="100">
        <f t="shared" si="22"/>
        <v>-3167.635202407837</v>
      </c>
      <c r="DL10" s="100">
        <f t="shared" si="22"/>
        <v>-2375.7264018058777</v>
      </c>
      <c r="DM10" s="100">
        <f t="shared" si="22"/>
        <v>-1781.7948013544083</v>
      </c>
      <c r="DN10" s="100">
        <f t="shared" si="22"/>
        <v>-1336.3461010158062</v>
      </c>
      <c r="DO10" s="93"/>
      <c r="DQ10" s="53"/>
      <c r="DR10" s="53"/>
      <c r="DS10" s="53"/>
      <c r="DT10" s="53"/>
      <c r="DU10" s="53"/>
      <c r="DV10" s="53"/>
    </row>
    <row r="11" spans="1:126" s="59" customFormat="1" ht="18.75" customHeight="1">
      <c r="A11" s="220"/>
      <c r="B11" s="221"/>
      <c r="C11" s="221"/>
      <c r="D11" s="221"/>
      <c r="E11" s="221"/>
      <c r="F11" s="221"/>
      <c r="G11" s="221"/>
      <c r="H11" s="221"/>
      <c r="I11" s="221"/>
      <c r="J11" s="221"/>
      <c r="K11" s="222"/>
      <c r="L11" s="222"/>
      <c r="M11" s="222"/>
      <c r="N11" s="221"/>
      <c r="O11" s="223"/>
      <c r="P11" s="222"/>
      <c r="Q11" s="221"/>
      <c r="R11" s="53"/>
      <c r="U11" s="216"/>
      <c r="V11" s="348" t="s">
        <v>41</v>
      </c>
      <c r="W11" s="207"/>
      <c r="X11" s="267">
        <f aca="true" t="shared" si="23" ref="X11:AL11">SUM(X6:X10)</f>
        <v>-69400</v>
      </c>
      <c r="Y11" s="267">
        <f t="shared" si="23"/>
        <v>-50700</v>
      </c>
      <c r="Z11" s="267">
        <f t="shared" si="23"/>
        <v>-36687</v>
      </c>
      <c r="AA11" s="267">
        <f t="shared" si="23"/>
        <v>-26189.04</v>
      </c>
      <c r="AB11" s="267">
        <f t="shared" si="23"/>
        <v>-18327.1233</v>
      </c>
      <c r="AC11" s="267">
        <f t="shared" si="23"/>
        <v>-12441.974016</v>
      </c>
      <c r="AD11" s="267">
        <f t="shared" si="23"/>
        <v>-8039.105127569999</v>
      </c>
      <c r="AE11" s="267">
        <f t="shared" si="23"/>
        <v>-4747.619419496401</v>
      </c>
      <c r="AF11" s="267">
        <f t="shared" si="23"/>
        <v>-2289.3100891519534</v>
      </c>
      <c r="AG11" s="267">
        <f t="shared" si="23"/>
        <v>-3455.486098080304</v>
      </c>
      <c r="AH11" s="267">
        <f t="shared" si="23"/>
        <v>-2289.591076406794</v>
      </c>
      <c r="AI11" s="267">
        <f t="shared" si="23"/>
        <v>-1274.1673862647858</v>
      </c>
      <c r="AJ11" s="267">
        <f t="shared" si="23"/>
        <v>-521.0790485964753</v>
      </c>
      <c r="AK11" s="267">
        <f t="shared" si="23"/>
        <v>35.82118869984515</v>
      </c>
      <c r="AL11" s="267">
        <f t="shared" si="23"/>
        <v>446.1916831092294</v>
      </c>
      <c r="AM11" s="219"/>
      <c r="AP11" s="348" t="s">
        <v>41</v>
      </c>
      <c r="AQ11" s="207"/>
      <c r="AR11" s="267">
        <f aca="true" t="shared" si="24" ref="AR11:BF11">SUM(AR6:AR10)</f>
        <v>-70437.5</v>
      </c>
      <c r="AS11" s="267">
        <f t="shared" si="24"/>
        <v>-51693.75</v>
      </c>
      <c r="AT11" s="267">
        <f t="shared" si="24"/>
        <v>-37680.75</v>
      </c>
      <c r="AU11" s="267">
        <f t="shared" si="24"/>
        <v>-27182.79</v>
      </c>
      <c r="AV11" s="267">
        <f t="shared" si="24"/>
        <v>-19320.8733</v>
      </c>
      <c r="AW11" s="267">
        <f t="shared" si="24"/>
        <v>-13435.724016</v>
      </c>
      <c r="AX11" s="267">
        <f t="shared" si="24"/>
        <v>-9032.85512757</v>
      </c>
      <c r="AY11" s="267">
        <f t="shared" si="24"/>
        <v>-5741.369419496401</v>
      </c>
      <c r="AZ11" s="267">
        <f t="shared" si="24"/>
        <v>-3283.0600891519534</v>
      </c>
      <c r="BA11" s="267">
        <f t="shared" si="24"/>
        <v>-1449.2360980803041</v>
      </c>
      <c r="BB11" s="267">
        <f t="shared" si="24"/>
        <v>-2952.091076406794</v>
      </c>
      <c r="BC11" s="267">
        <f t="shared" si="24"/>
        <v>-1936.6673862647858</v>
      </c>
      <c r="BD11" s="267">
        <f t="shared" si="24"/>
        <v>-1183.5790485964753</v>
      </c>
      <c r="BE11" s="267">
        <f t="shared" si="24"/>
        <v>-626.6788113001539</v>
      </c>
      <c r="BF11" s="267">
        <f t="shared" si="24"/>
        <v>-216.30831689076967</v>
      </c>
      <c r="BG11" s="219"/>
      <c r="BJ11" s="224" t="s">
        <v>41</v>
      </c>
      <c r="BK11" s="207"/>
      <c r="BL11" s="225">
        <f aca="true" t="shared" si="25" ref="BL11:BZ11">SUM(BL6:BL10)</f>
        <v>-69400</v>
      </c>
      <c r="BM11" s="225">
        <f t="shared" si="25"/>
        <v>-50720</v>
      </c>
      <c r="BN11" s="225">
        <f t="shared" si="25"/>
        <v>-36728.6</v>
      </c>
      <c r="BO11" s="225">
        <f t="shared" si="25"/>
        <v>-26253.938</v>
      </c>
      <c r="BP11" s="225">
        <f t="shared" si="25"/>
        <v>-18417.12074</v>
      </c>
      <c r="BQ11" s="225">
        <f t="shared" si="25"/>
        <v>-12558.981504200001</v>
      </c>
      <c r="BR11" s="225">
        <f t="shared" si="25"/>
        <v>-8185.148471666</v>
      </c>
      <c r="BS11" s="225">
        <f t="shared" si="25"/>
        <v>-4924.84597672778</v>
      </c>
      <c r="BT11" s="225">
        <f t="shared" si="25"/>
        <v>-2499.995451553399</v>
      </c>
      <c r="BU11" s="225">
        <f t="shared" si="25"/>
        <v>-702.0411302295761</v>
      </c>
      <c r="BV11" s="225">
        <f t="shared" si="25"/>
        <v>-2574.5693238401127</v>
      </c>
      <c r="BW11" s="225">
        <f t="shared" si="25"/>
        <v>-1600.2728736566532</v>
      </c>
      <c r="BX11" s="225">
        <f t="shared" si="25"/>
        <v>-891.174487772425</v>
      </c>
      <c r="BY11" s="225">
        <f t="shared" si="25"/>
        <v>-381.29424017182555</v>
      </c>
      <c r="BZ11" s="225">
        <f t="shared" si="25"/>
        <v>-21.15019147505609</v>
      </c>
      <c r="CA11" s="219"/>
      <c r="CD11" s="224" t="s">
        <v>41</v>
      </c>
      <c r="CE11" s="207"/>
      <c r="CF11" s="225">
        <f aca="true" t="shared" si="26" ref="CF11:CT11">SUM(CF6:CF10)</f>
        <v>-69400</v>
      </c>
      <c r="CG11" s="225">
        <f t="shared" si="26"/>
        <v>-50700</v>
      </c>
      <c r="CH11" s="225">
        <f t="shared" si="26"/>
        <v>-36687</v>
      </c>
      <c r="CI11" s="225">
        <f t="shared" si="26"/>
        <v>-26189.04</v>
      </c>
      <c r="CJ11" s="225">
        <f t="shared" si="26"/>
        <v>-18327.1233</v>
      </c>
      <c r="CK11" s="225">
        <f t="shared" si="26"/>
        <v>-12441.974016</v>
      </c>
      <c r="CL11" s="225">
        <f t="shared" si="26"/>
        <v>-8039.105127569999</v>
      </c>
      <c r="CM11" s="225">
        <f t="shared" si="26"/>
        <v>-4747.619419496401</v>
      </c>
      <c r="CN11" s="225">
        <f t="shared" si="26"/>
        <v>-2289.3100891519534</v>
      </c>
      <c r="CO11" s="225">
        <f t="shared" si="26"/>
        <v>-455.48609808030415</v>
      </c>
      <c r="CP11" s="225">
        <f t="shared" si="26"/>
        <v>-2289.591076406794</v>
      </c>
      <c r="CQ11" s="225">
        <f t="shared" si="26"/>
        <v>-1274.1673862647858</v>
      </c>
      <c r="CR11" s="225">
        <f t="shared" si="26"/>
        <v>-521.0790485964753</v>
      </c>
      <c r="CS11" s="225">
        <f t="shared" si="26"/>
        <v>35.82118869984515</v>
      </c>
      <c r="CT11" s="225">
        <f t="shared" si="26"/>
        <v>446.1916831092294</v>
      </c>
      <c r="CU11" s="219"/>
      <c r="CX11" s="224" t="s">
        <v>41</v>
      </c>
      <c r="CY11" s="207"/>
      <c r="CZ11" s="225">
        <f aca="true" t="shared" si="27" ref="CZ11:DN11">SUM(CZ6:CZ10)</f>
        <v>-70380</v>
      </c>
      <c r="DA11" s="225">
        <f t="shared" si="27"/>
        <v>-51780</v>
      </c>
      <c r="DB11" s="225">
        <f t="shared" si="27"/>
        <v>-37872</v>
      </c>
      <c r="DC11" s="225">
        <f t="shared" si="27"/>
        <v>-27484.29</v>
      </c>
      <c r="DD11" s="225">
        <f t="shared" si="27"/>
        <v>-19738.1358</v>
      </c>
      <c r="DE11" s="225">
        <f t="shared" si="27"/>
        <v>-13974.537141</v>
      </c>
      <c r="DF11" s="225">
        <f t="shared" si="27"/>
        <v>-9699.29640882</v>
      </c>
      <c r="DG11" s="225">
        <f t="shared" si="27"/>
        <v>-6541.820264808899</v>
      </c>
      <c r="DH11" s="225">
        <f t="shared" si="27"/>
        <v>-4224.220976730077</v>
      </c>
      <c r="DI11" s="225">
        <f t="shared" si="27"/>
        <v>-2538.1425300373357</v>
      </c>
      <c r="DJ11" s="225">
        <f t="shared" si="27"/>
        <v>-4867.380329961676</v>
      </c>
      <c r="DK11" s="225">
        <f t="shared" si="27"/>
        <v>-4014.8461024974113</v>
      </c>
      <c r="DL11" s="225">
        <f t="shared" si="27"/>
        <v>-3432.7917006407333</v>
      </c>
      <c r="DM11" s="225">
        <f t="shared" si="27"/>
        <v>-3055.477095946625</v>
      </c>
      <c r="DN11" s="225">
        <f t="shared" si="27"/>
        <v>-2833.6715157695644</v>
      </c>
      <c r="DO11" s="219"/>
      <c r="DQ11" s="136">
        <f>SUM(CZ11:DP11)</f>
        <v>-262436.6098662123</v>
      </c>
      <c r="DR11" s="135"/>
      <c r="DS11" s="135"/>
      <c r="DT11" s="135"/>
      <c r="DU11" s="135"/>
      <c r="DV11" s="135"/>
    </row>
    <row r="12" spans="2:121" s="59" customFormat="1" ht="24.75" customHeight="1" thickBot="1">
      <c r="B12" s="213"/>
      <c r="K12" s="214"/>
      <c r="L12" s="215"/>
      <c r="M12" s="215"/>
      <c r="N12" s="60"/>
      <c r="P12" s="215"/>
      <c r="U12" s="216"/>
      <c r="V12" s="354" t="s">
        <v>70</v>
      </c>
      <c r="W12" s="217"/>
      <c r="X12" s="266">
        <f>-IF(Mellemregninger!C25&gt;0,(Mellemregninger!C25+Mellemregninger!D25)/2*Mellemregninger!D24,0)</f>
        <v>-11400</v>
      </c>
      <c r="Y12" s="266">
        <f>-IF(Mellemregninger!D25&gt;0,(Mellemregninger!D25+Mellemregninger!E25)/2*Mellemregninger!E24,0)</f>
        <v>-10200</v>
      </c>
      <c r="Z12" s="266">
        <f>-IF(Mellemregninger!E25&gt;0,(Mellemregninger!E25+Mellemregninger!F25)/2*Mellemregninger!F24,0)</f>
        <v>-9000</v>
      </c>
      <c r="AA12" s="266">
        <f>-IF(Mellemregninger!F25&gt;0,(Mellemregninger!F25+Mellemregninger!G25)/2*Mellemregninger!G24,0)</f>
        <v>-7800</v>
      </c>
      <c r="AB12" s="266">
        <f>-IF(Mellemregninger!G25&gt;0,(Mellemregninger!G25+Mellemregninger!H25)/2*Mellemregninger!H24,0)</f>
        <v>-6600</v>
      </c>
      <c r="AC12" s="266">
        <f>-IF(Mellemregninger!H25&gt;0,(Mellemregninger!H25+Mellemregninger!I25)/2*Mellemregninger!I24,0)</f>
        <v>-5400</v>
      </c>
      <c r="AD12" s="266">
        <f>-IF(Mellemregninger!I25&gt;0,(Mellemregninger!I25+Mellemregninger!J25)/2*Mellemregninger!J24,0)</f>
        <v>-4200</v>
      </c>
      <c r="AE12" s="266">
        <f>-IF(Mellemregninger!J25&gt;0,(Mellemregninger!J25+Mellemregninger!K25)/2*Mellemregninger!K24,0)</f>
        <v>-3000</v>
      </c>
      <c r="AF12" s="266">
        <f>-IF(Mellemregninger!K25&gt;0,(Mellemregninger!K25+Mellemregninger!L25)/2*Mellemregninger!L24,0)</f>
        <v>-1800</v>
      </c>
      <c r="AG12" s="266">
        <f>-IF(Mellemregninger!L25&gt;0,(Mellemregninger!L25+Mellemregninger!M25)/2*Mellemregninger!M24,0)</f>
        <v>-600</v>
      </c>
      <c r="AH12" s="266">
        <f>-IF(Mellemregninger!M25&gt;0,(Mellemregninger!M25+Mellemregninger!N25)/2*Mellemregninger!N24,0)</f>
        <v>0</v>
      </c>
      <c r="AI12" s="266">
        <f>-IF(Mellemregninger!N25&gt;0,(Mellemregninger!N25+Mellemregninger!O25)/2*Mellemregninger!O24,0)</f>
        <v>0</v>
      </c>
      <c r="AJ12" s="266">
        <f>-IF(Mellemregninger!O25&gt;0,(Mellemregninger!O25+Mellemregninger!P25)/2*Mellemregninger!P24,0)</f>
        <v>0</v>
      </c>
      <c r="AK12" s="266">
        <f>-IF(Mellemregninger!P25&gt;0,(Mellemregninger!P25+Mellemregninger!Q25)/2*Mellemregninger!Q24,0)</f>
        <v>0</v>
      </c>
      <c r="AL12" s="266">
        <f>-IF(Mellemregninger!Q25&gt;0,(Mellemregninger!Q25+Mellemregninger!R25)/2*Mellemregninger!R24,0)</f>
        <v>0</v>
      </c>
      <c r="AM12" s="219"/>
      <c r="AP12" s="349" t="s">
        <v>70</v>
      </c>
      <c r="AQ12" s="217"/>
      <c r="AR12" s="266">
        <f>X12</f>
        <v>-11400</v>
      </c>
      <c r="AS12" s="266">
        <f aca="true" t="shared" si="28" ref="AS12:BF12">Y12</f>
        <v>-10200</v>
      </c>
      <c r="AT12" s="266">
        <f t="shared" si="28"/>
        <v>-9000</v>
      </c>
      <c r="AU12" s="266">
        <f t="shared" si="28"/>
        <v>-7800</v>
      </c>
      <c r="AV12" s="266">
        <f t="shared" si="28"/>
        <v>-6600</v>
      </c>
      <c r="AW12" s="266">
        <f t="shared" si="28"/>
        <v>-5400</v>
      </c>
      <c r="AX12" s="266">
        <f t="shared" si="28"/>
        <v>-4200</v>
      </c>
      <c r="AY12" s="266">
        <f t="shared" si="28"/>
        <v>-3000</v>
      </c>
      <c r="AZ12" s="266">
        <f t="shared" si="28"/>
        <v>-1800</v>
      </c>
      <c r="BA12" s="266">
        <f t="shared" si="28"/>
        <v>-600</v>
      </c>
      <c r="BB12" s="266">
        <f t="shared" si="28"/>
        <v>0</v>
      </c>
      <c r="BC12" s="266">
        <f t="shared" si="28"/>
        <v>0</v>
      </c>
      <c r="BD12" s="266">
        <f t="shared" si="28"/>
        <v>0</v>
      </c>
      <c r="BE12" s="266">
        <f t="shared" si="28"/>
        <v>0</v>
      </c>
      <c r="BF12" s="266">
        <f t="shared" si="28"/>
        <v>0</v>
      </c>
      <c r="BG12" s="219"/>
      <c r="BJ12" s="67" t="s">
        <v>70</v>
      </c>
      <c r="BK12" s="217"/>
      <c r="BL12" s="218">
        <f>X12</f>
        <v>-11400</v>
      </c>
      <c r="BM12" s="218">
        <f aca="true" t="shared" si="29" ref="BM12:BZ12">Y12</f>
        <v>-10200</v>
      </c>
      <c r="BN12" s="218">
        <f t="shared" si="29"/>
        <v>-9000</v>
      </c>
      <c r="BO12" s="218">
        <f t="shared" si="29"/>
        <v>-7800</v>
      </c>
      <c r="BP12" s="218">
        <f t="shared" si="29"/>
        <v>-6600</v>
      </c>
      <c r="BQ12" s="218">
        <f t="shared" si="29"/>
        <v>-5400</v>
      </c>
      <c r="BR12" s="218">
        <f t="shared" si="29"/>
        <v>-4200</v>
      </c>
      <c r="BS12" s="218">
        <f t="shared" si="29"/>
        <v>-3000</v>
      </c>
      <c r="BT12" s="218">
        <f t="shared" si="29"/>
        <v>-1800</v>
      </c>
      <c r="BU12" s="218">
        <f t="shared" si="29"/>
        <v>-600</v>
      </c>
      <c r="BV12" s="218">
        <f t="shared" si="29"/>
        <v>0</v>
      </c>
      <c r="BW12" s="218">
        <f t="shared" si="29"/>
        <v>0</v>
      </c>
      <c r="BX12" s="218">
        <f t="shared" si="29"/>
        <v>0</v>
      </c>
      <c r="BY12" s="218">
        <f t="shared" si="29"/>
        <v>0</v>
      </c>
      <c r="BZ12" s="218">
        <f t="shared" si="29"/>
        <v>0</v>
      </c>
      <c r="CA12" s="219"/>
      <c r="CD12" s="67" t="s">
        <v>70</v>
      </c>
      <c r="CE12" s="217"/>
      <c r="CF12" s="218">
        <f>-IF(Mellemregninger!C25&gt;0,(Mellemregninger!C25+Mellemregninger!D25)/2*Mellemregninger!D28,0)</f>
        <v>-8550</v>
      </c>
      <c r="CG12" s="218">
        <f>-IF(Mellemregninger!D25&gt;0,(Mellemregninger!D25+Mellemregninger!E25)/2*Mellemregninger!E28,0)</f>
        <v>-7650</v>
      </c>
      <c r="CH12" s="218">
        <f>-IF(Mellemregninger!E25&gt;0,(Mellemregninger!E25+Mellemregninger!F25)/2*Mellemregninger!F28,0)</f>
        <v>-6750</v>
      </c>
      <c r="CI12" s="218">
        <f>-IF(Mellemregninger!F25&gt;0,(Mellemregninger!F25+Mellemregninger!G25)/2*Mellemregninger!G28,0)</f>
        <v>-5850</v>
      </c>
      <c r="CJ12" s="218">
        <f>-IF(Mellemregninger!G25&gt;0,(Mellemregninger!G25+Mellemregninger!H25)/2*Mellemregninger!H28,0)</f>
        <v>-4950</v>
      </c>
      <c r="CK12" s="218">
        <f>-IF(Mellemregninger!H25&gt;0,(Mellemregninger!H25+Mellemregninger!I25)/2*Mellemregninger!I28,0)</f>
        <v>-4050</v>
      </c>
      <c r="CL12" s="218">
        <f>-IF(Mellemregninger!I25&gt;0,(Mellemregninger!I25+Mellemregninger!J25)/2*Mellemregninger!J28,0)</f>
        <v>-3150</v>
      </c>
      <c r="CM12" s="218">
        <f>-IF(Mellemregninger!J25&gt;0,(Mellemregninger!J25+Mellemregninger!K25)/2*Mellemregninger!K28,0)</f>
        <v>-2250</v>
      </c>
      <c r="CN12" s="218">
        <f>-IF(Mellemregninger!K25&gt;0,(Mellemregninger!K25+Mellemregninger!L25)/2*Mellemregninger!L28,0)</f>
        <v>-1350</v>
      </c>
      <c r="CO12" s="218">
        <f>-IF(Mellemregninger!L25&gt;0,(Mellemregninger!L25+Mellemregninger!M25)/2*Mellemregninger!M28,0)</f>
        <v>-450</v>
      </c>
      <c r="CP12" s="218">
        <f>-IF(Mellemregninger!M25&gt;0,(Mellemregninger!M25+Mellemregninger!N25)/2*Mellemregninger!N28,0)</f>
        <v>0</v>
      </c>
      <c r="CQ12" s="218">
        <f>-IF(Mellemregninger!N25&gt;0,(Mellemregninger!N25+Mellemregninger!O25)/2*Mellemregninger!O28,0)</f>
        <v>0</v>
      </c>
      <c r="CR12" s="218">
        <f>-IF(Mellemregninger!O25&gt;0,(Mellemregninger!O25+Mellemregninger!P25)/2*Mellemregninger!P28,0)</f>
        <v>0</v>
      </c>
      <c r="CS12" s="218">
        <f>-IF(Mellemregninger!P25&gt;0,(Mellemregninger!P25+Mellemregninger!Q25)/2*Mellemregninger!Q28,0)</f>
        <v>0</v>
      </c>
      <c r="CT12" s="218">
        <f>-IF(Mellemregninger!Q25&gt;0,(Mellemregninger!Q25+Mellemregninger!R25)/2*Mellemregninger!R28,0)</f>
        <v>0</v>
      </c>
      <c r="CU12" s="219"/>
      <c r="CX12" s="67" t="s">
        <v>70</v>
      </c>
      <c r="CY12" s="217"/>
      <c r="CZ12" s="218">
        <f>CF12</f>
        <v>-8550</v>
      </c>
      <c r="DA12" s="218">
        <f aca="true" t="shared" si="30" ref="DA12:DN12">CG12</f>
        <v>-7650</v>
      </c>
      <c r="DB12" s="218">
        <f t="shared" si="30"/>
        <v>-6750</v>
      </c>
      <c r="DC12" s="218">
        <f t="shared" si="30"/>
        <v>-5850</v>
      </c>
      <c r="DD12" s="218">
        <f t="shared" si="30"/>
        <v>-4950</v>
      </c>
      <c r="DE12" s="218">
        <f t="shared" si="30"/>
        <v>-4050</v>
      </c>
      <c r="DF12" s="218">
        <f t="shared" si="30"/>
        <v>-3150</v>
      </c>
      <c r="DG12" s="218">
        <f t="shared" si="30"/>
        <v>-2250</v>
      </c>
      <c r="DH12" s="218">
        <f t="shared" si="30"/>
        <v>-1350</v>
      </c>
      <c r="DI12" s="218">
        <f t="shared" si="30"/>
        <v>-450</v>
      </c>
      <c r="DJ12" s="218">
        <f t="shared" si="30"/>
        <v>0</v>
      </c>
      <c r="DK12" s="218">
        <f t="shared" si="30"/>
        <v>0</v>
      </c>
      <c r="DL12" s="218">
        <f t="shared" si="30"/>
        <v>0</v>
      </c>
      <c r="DM12" s="218">
        <f t="shared" si="30"/>
        <v>0</v>
      </c>
      <c r="DN12" s="218">
        <f t="shared" si="30"/>
        <v>0</v>
      </c>
      <c r="DO12" s="219"/>
      <c r="DQ12" s="215">
        <f>SUM(CZ12:DP12)</f>
        <v>-45000</v>
      </c>
    </row>
    <row r="13" spans="1:126" ht="18" customHeight="1" thickBot="1">
      <c r="A13" s="59"/>
      <c r="B13" s="420" t="s">
        <v>241</v>
      </c>
      <c r="C13" s="421"/>
      <c r="D13" s="421"/>
      <c r="E13" s="421"/>
      <c r="F13" s="421"/>
      <c r="G13" s="422"/>
      <c r="H13" s="59"/>
      <c r="I13" s="59"/>
      <c r="J13" s="406" t="s">
        <v>42</v>
      </c>
      <c r="K13" s="407"/>
      <c r="L13" s="407"/>
      <c r="M13" s="408"/>
      <c r="N13" s="60"/>
      <c r="O13" s="406" t="s">
        <v>69</v>
      </c>
      <c r="P13" s="407"/>
      <c r="Q13" s="408"/>
      <c r="R13" s="59"/>
      <c r="U13" s="89"/>
      <c r="V13" s="350" t="s">
        <v>57</v>
      </c>
      <c r="W13" s="103"/>
      <c r="X13" s="63">
        <f aca="true" t="shared" si="31" ref="X13:AL13">SUM(X11:X12)</f>
        <v>-80800</v>
      </c>
      <c r="Y13" s="63">
        <f t="shared" si="31"/>
        <v>-60900</v>
      </c>
      <c r="Z13" s="63">
        <f t="shared" si="31"/>
        <v>-45687</v>
      </c>
      <c r="AA13" s="63">
        <f t="shared" si="31"/>
        <v>-33989.04</v>
      </c>
      <c r="AB13" s="63">
        <f t="shared" si="31"/>
        <v>-24927.1233</v>
      </c>
      <c r="AC13" s="63">
        <f t="shared" si="31"/>
        <v>-17841.974016</v>
      </c>
      <c r="AD13" s="63">
        <f t="shared" si="31"/>
        <v>-12239.10512757</v>
      </c>
      <c r="AE13" s="63">
        <f t="shared" si="31"/>
        <v>-7747.619419496401</v>
      </c>
      <c r="AF13" s="63">
        <f t="shared" si="31"/>
        <v>-4089.3100891519534</v>
      </c>
      <c r="AG13" s="63">
        <f t="shared" si="31"/>
        <v>-4055.486098080304</v>
      </c>
      <c r="AH13" s="63">
        <f t="shared" si="31"/>
        <v>-2289.591076406794</v>
      </c>
      <c r="AI13" s="63">
        <f t="shared" si="31"/>
        <v>-1274.1673862647858</v>
      </c>
      <c r="AJ13" s="63">
        <f t="shared" si="31"/>
        <v>-521.0790485964753</v>
      </c>
      <c r="AK13" s="63">
        <f t="shared" si="31"/>
        <v>35.82118869984515</v>
      </c>
      <c r="AL13" s="63">
        <f t="shared" si="31"/>
        <v>446.1916831092294</v>
      </c>
      <c r="AM13" s="93"/>
      <c r="AO13" s="70">
        <f>SUM(X13:AN13)</f>
        <v>-295879.4826897576</v>
      </c>
      <c r="AP13" s="350" t="s">
        <v>57</v>
      </c>
      <c r="AQ13" s="103"/>
      <c r="AR13" s="63">
        <f aca="true" t="shared" si="32" ref="AR13:BF13">SUM(AR11:AR12)</f>
        <v>-81837.5</v>
      </c>
      <c r="AS13" s="63">
        <f t="shared" si="32"/>
        <v>-61893.75</v>
      </c>
      <c r="AT13" s="63">
        <f t="shared" si="32"/>
        <v>-46680.75</v>
      </c>
      <c r="AU13" s="63">
        <f t="shared" si="32"/>
        <v>-34982.79</v>
      </c>
      <c r="AV13" s="63">
        <f t="shared" si="32"/>
        <v>-25920.8733</v>
      </c>
      <c r="AW13" s="63">
        <f t="shared" si="32"/>
        <v>-18835.724016</v>
      </c>
      <c r="AX13" s="63">
        <f t="shared" si="32"/>
        <v>-13232.85512757</v>
      </c>
      <c r="AY13" s="63">
        <f t="shared" si="32"/>
        <v>-8741.369419496401</v>
      </c>
      <c r="AZ13" s="63">
        <f t="shared" si="32"/>
        <v>-5083.060089151953</v>
      </c>
      <c r="BA13" s="63">
        <f t="shared" si="32"/>
        <v>-2049.236098080304</v>
      </c>
      <c r="BB13" s="63">
        <f t="shared" si="32"/>
        <v>-2952.091076406794</v>
      </c>
      <c r="BC13" s="63">
        <f t="shared" si="32"/>
        <v>-1936.6673862647858</v>
      </c>
      <c r="BD13" s="63">
        <f t="shared" si="32"/>
        <v>-1183.5790485964753</v>
      </c>
      <c r="BE13" s="63">
        <f t="shared" si="32"/>
        <v>-626.6788113001539</v>
      </c>
      <c r="BF13" s="63">
        <f t="shared" si="32"/>
        <v>-216.30831689076967</v>
      </c>
      <c r="BG13" s="93"/>
      <c r="BH13" s="70">
        <f>SUM(AR13:BG13)</f>
        <v>-306173.2326897576</v>
      </c>
      <c r="BJ13" s="102" t="s">
        <v>57</v>
      </c>
      <c r="BK13" s="103"/>
      <c r="BL13" s="102">
        <f aca="true" t="shared" si="33" ref="BL13:BZ13">SUM(BL11:BL12)</f>
        <v>-80800</v>
      </c>
      <c r="BM13" s="102">
        <f t="shared" si="33"/>
        <v>-60920</v>
      </c>
      <c r="BN13" s="102">
        <f t="shared" si="33"/>
        <v>-45728.6</v>
      </c>
      <c r="BO13" s="102">
        <f t="shared" si="33"/>
        <v>-34053.937999999995</v>
      </c>
      <c r="BP13" s="102">
        <f t="shared" si="33"/>
        <v>-25017.12074</v>
      </c>
      <c r="BQ13" s="102">
        <f t="shared" si="33"/>
        <v>-17958.9815042</v>
      </c>
      <c r="BR13" s="102">
        <f t="shared" si="33"/>
        <v>-12385.148471666</v>
      </c>
      <c r="BS13" s="102">
        <f t="shared" si="33"/>
        <v>-7924.84597672778</v>
      </c>
      <c r="BT13" s="102">
        <f t="shared" si="33"/>
        <v>-4299.995451553399</v>
      </c>
      <c r="BU13" s="102">
        <f t="shared" si="33"/>
        <v>-1302.041130229576</v>
      </c>
      <c r="BV13" s="102">
        <f t="shared" si="33"/>
        <v>-2574.5693238401127</v>
      </c>
      <c r="BW13" s="102">
        <f t="shared" si="33"/>
        <v>-1600.2728736566532</v>
      </c>
      <c r="BX13" s="102">
        <f t="shared" si="33"/>
        <v>-891.174487772425</v>
      </c>
      <c r="BY13" s="102">
        <f t="shared" si="33"/>
        <v>-381.29424017182555</v>
      </c>
      <c r="BZ13" s="102">
        <f t="shared" si="33"/>
        <v>-21.15019147505609</v>
      </c>
      <c r="CA13" s="93"/>
      <c r="CC13" s="70">
        <f>SUM(BL13:CB13)</f>
        <v>-295859.1323912928</v>
      </c>
      <c r="CD13" s="102" t="s">
        <v>57</v>
      </c>
      <c r="CE13" s="103"/>
      <c r="CF13" s="102">
        <f aca="true" t="shared" si="34" ref="CF13:CT13">SUM(CF11:CF12)</f>
        <v>-77950</v>
      </c>
      <c r="CG13" s="102">
        <f t="shared" si="34"/>
        <v>-58350</v>
      </c>
      <c r="CH13" s="102">
        <f t="shared" si="34"/>
        <v>-43437</v>
      </c>
      <c r="CI13" s="102">
        <f t="shared" si="34"/>
        <v>-32039.04</v>
      </c>
      <c r="CJ13" s="102">
        <f t="shared" si="34"/>
        <v>-23277.1233</v>
      </c>
      <c r="CK13" s="102">
        <f t="shared" si="34"/>
        <v>-16491.974016</v>
      </c>
      <c r="CL13" s="102">
        <f t="shared" si="34"/>
        <v>-11189.10512757</v>
      </c>
      <c r="CM13" s="102">
        <f t="shared" si="34"/>
        <v>-6997.619419496401</v>
      </c>
      <c r="CN13" s="102">
        <f t="shared" si="34"/>
        <v>-3639.3100891519534</v>
      </c>
      <c r="CO13" s="102">
        <f t="shared" si="34"/>
        <v>-905.4860980803041</v>
      </c>
      <c r="CP13" s="102">
        <f t="shared" si="34"/>
        <v>-2289.591076406794</v>
      </c>
      <c r="CQ13" s="102">
        <f t="shared" si="34"/>
        <v>-1274.1673862647858</v>
      </c>
      <c r="CR13" s="102">
        <f t="shared" si="34"/>
        <v>-521.0790485964753</v>
      </c>
      <c r="CS13" s="102">
        <f t="shared" si="34"/>
        <v>35.82118869984515</v>
      </c>
      <c r="CT13" s="102">
        <f t="shared" si="34"/>
        <v>446.1916831092294</v>
      </c>
      <c r="CU13" s="93"/>
      <c r="CW13" s="70">
        <f>SUM(CF13:CV13)</f>
        <v>-277879.4826897576</v>
      </c>
      <c r="CX13" s="102" t="s">
        <v>57</v>
      </c>
      <c r="CY13" s="103"/>
      <c r="CZ13" s="102">
        <f aca="true" t="shared" si="35" ref="CZ13:DN13">SUM(CZ11:CZ12)</f>
        <v>-78930</v>
      </c>
      <c r="DA13" s="102">
        <f t="shared" si="35"/>
        <v>-59430</v>
      </c>
      <c r="DB13" s="102">
        <f t="shared" si="35"/>
        <v>-44622</v>
      </c>
      <c r="DC13" s="102">
        <f t="shared" si="35"/>
        <v>-33334.29</v>
      </c>
      <c r="DD13" s="102">
        <f t="shared" si="35"/>
        <v>-24688.1358</v>
      </c>
      <c r="DE13" s="102">
        <f t="shared" si="35"/>
        <v>-18024.537141</v>
      </c>
      <c r="DF13" s="102">
        <f t="shared" si="35"/>
        <v>-12849.29640882</v>
      </c>
      <c r="DG13" s="102">
        <f t="shared" si="35"/>
        <v>-8791.820264808899</v>
      </c>
      <c r="DH13" s="102">
        <f t="shared" si="35"/>
        <v>-5574.220976730077</v>
      </c>
      <c r="DI13" s="102">
        <f t="shared" si="35"/>
        <v>-2988.1425300373357</v>
      </c>
      <c r="DJ13" s="102">
        <f t="shared" si="35"/>
        <v>-4867.380329961676</v>
      </c>
      <c r="DK13" s="102">
        <f t="shared" si="35"/>
        <v>-4014.8461024974113</v>
      </c>
      <c r="DL13" s="102">
        <f t="shared" si="35"/>
        <v>-3432.7917006407333</v>
      </c>
      <c r="DM13" s="102">
        <f t="shared" si="35"/>
        <v>-3055.477095946625</v>
      </c>
      <c r="DN13" s="102">
        <f t="shared" si="35"/>
        <v>-2833.6715157695644</v>
      </c>
      <c r="DO13" s="93"/>
      <c r="DQ13" s="215">
        <f>SUM(CZ13:DP13)</f>
        <v>-307436.6098662123</v>
      </c>
      <c r="DR13" s="59"/>
      <c r="DS13" s="59"/>
      <c r="DT13" s="59"/>
      <c r="DU13" s="59"/>
      <c r="DV13" s="59"/>
    </row>
    <row r="14" spans="2:121" ht="29.25" customHeight="1" thickBot="1" thickTop="1">
      <c r="B14" s="423"/>
      <c r="C14" s="424"/>
      <c r="D14" s="424"/>
      <c r="E14" s="424"/>
      <c r="F14" s="424"/>
      <c r="G14" s="425"/>
      <c r="J14" s="409"/>
      <c r="K14" s="410"/>
      <c r="L14" s="410"/>
      <c r="M14" s="411"/>
      <c r="N14" s="61"/>
      <c r="O14" s="409"/>
      <c r="P14" s="410"/>
      <c r="Q14" s="411"/>
      <c r="S14" s="104"/>
      <c r="U14" s="89"/>
      <c r="V14" s="364" t="s">
        <v>135</v>
      </c>
      <c r="W14" s="208"/>
      <c r="X14" s="268">
        <f>Mellemregninger!D69</f>
        <v>0</v>
      </c>
      <c r="Y14" s="268">
        <f>Mellemregninger!E69</f>
        <v>0</v>
      </c>
      <c r="Z14" s="268">
        <f>Mellemregninger!F69</f>
        <v>0</v>
      </c>
      <c r="AA14" s="268">
        <f>Mellemregninger!G69</f>
        <v>0</v>
      </c>
      <c r="AB14" s="268">
        <f>Mellemregninger!H69</f>
        <v>0</v>
      </c>
      <c r="AC14" s="268">
        <f>Mellemregninger!I69</f>
        <v>0</v>
      </c>
      <c r="AD14" s="268">
        <f>Mellemregninger!J69</f>
        <v>0</v>
      </c>
      <c r="AE14" s="268">
        <f>Mellemregninger!K69</f>
        <v>0</v>
      </c>
      <c r="AF14" s="268">
        <f>Mellemregninger!L69</f>
        <v>0</v>
      </c>
      <c r="AG14" s="268">
        <f>Mellemregninger!M69</f>
        <v>0</v>
      </c>
      <c r="AH14" s="268">
        <f>Mellemregninger!N69</f>
        <v>506.8216323852539</v>
      </c>
      <c r="AI14" s="268">
        <f>Mellemregninger!O69</f>
        <v>380.11622428894043</v>
      </c>
      <c r="AJ14" s="268">
        <f>Mellemregninger!P69</f>
        <v>285.0871682167053</v>
      </c>
      <c r="AK14" s="268">
        <f>Mellemregninger!Q69</f>
        <v>213.815376162529</v>
      </c>
      <c r="AL14" s="268">
        <f>Mellemregninger!R69</f>
        <v>160.36153212189674</v>
      </c>
      <c r="AM14" s="93"/>
      <c r="AO14" s="70"/>
      <c r="AP14" s="351" t="str">
        <f>V14</f>
        <v>Heraf beskattes som kapitalindkomst</v>
      </c>
      <c r="AQ14" s="207"/>
      <c r="AR14" s="267">
        <f>Mellemregninger!D69</f>
        <v>0</v>
      </c>
      <c r="AS14" s="267">
        <f>Mellemregninger!E69</f>
        <v>0</v>
      </c>
      <c r="AT14" s="267">
        <f>Mellemregninger!F69</f>
        <v>0</v>
      </c>
      <c r="AU14" s="267">
        <f>Mellemregninger!G69</f>
        <v>0</v>
      </c>
      <c r="AV14" s="267">
        <f>Mellemregninger!H69</f>
        <v>0</v>
      </c>
      <c r="AW14" s="267">
        <f>Mellemregninger!I69</f>
        <v>0</v>
      </c>
      <c r="AX14" s="267">
        <f>Mellemregninger!J69</f>
        <v>0</v>
      </c>
      <c r="AY14" s="267">
        <f>Mellemregninger!K69</f>
        <v>0</v>
      </c>
      <c r="AZ14" s="267">
        <f>Mellemregninger!L69</f>
        <v>0</v>
      </c>
      <c r="BA14" s="267">
        <f>Mellemregninger!M69</f>
        <v>0</v>
      </c>
      <c r="BB14" s="267">
        <f>Mellemregninger!N69</f>
        <v>506.8216323852539</v>
      </c>
      <c r="BC14" s="267">
        <f>Mellemregninger!O69</f>
        <v>380.11622428894043</v>
      </c>
      <c r="BD14" s="267">
        <f>Mellemregninger!P69</f>
        <v>285.0871682167053</v>
      </c>
      <c r="BE14" s="267">
        <f>Mellemregninger!Q69</f>
        <v>213.815376162529</v>
      </c>
      <c r="BF14" s="267">
        <f>Mellemregninger!R69</f>
        <v>160.36153212189674</v>
      </c>
      <c r="BG14" s="93"/>
      <c r="BH14" s="70"/>
      <c r="BJ14" s="206" t="str">
        <f>AP14</f>
        <v>Heraf beskattes som kapitalindkomst</v>
      </c>
      <c r="BK14" s="207"/>
      <c r="BL14" s="206">
        <f>Mellemregninger!D69</f>
        <v>0</v>
      </c>
      <c r="BM14" s="206">
        <f>Mellemregninger!E69</f>
        <v>0</v>
      </c>
      <c r="BN14" s="206">
        <f>Mellemregninger!F69</f>
        <v>0</v>
      </c>
      <c r="BO14" s="206">
        <f>Mellemregninger!G69</f>
        <v>0</v>
      </c>
      <c r="BP14" s="206">
        <f>Mellemregninger!H69</f>
        <v>0</v>
      </c>
      <c r="BQ14" s="206">
        <f>Mellemregninger!I69</f>
        <v>0</v>
      </c>
      <c r="BR14" s="206">
        <f>Mellemregninger!J69</f>
        <v>0</v>
      </c>
      <c r="BS14" s="206">
        <f>Mellemregninger!K69</f>
        <v>0</v>
      </c>
      <c r="BT14" s="206">
        <f>Mellemregninger!L69</f>
        <v>0</v>
      </c>
      <c r="BU14" s="206">
        <f>Mellemregninger!M69</f>
        <v>0</v>
      </c>
      <c r="BV14" s="206">
        <f>Mellemregninger!N69</f>
        <v>506.8216323852539</v>
      </c>
      <c r="BW14" s="206">
        <f>Mellemregninger!O69</f>
        <v>380.11622428894043</v>
      </c>
      <c r="BX14" s="206">
        <f>Mellemregninger!P69</f>
        <v>285.0871682167053</v>
      </c>
      <c r="BY14" s="206">
        <f>Mellemregninger!Q69</f>
        <v>213.815376162529</v>
      </c>
      <c r="BZ14" s="206">
        <f>Mellemregninger!R69</f>
        <v>160.36153212189674</v>
      </c>
      <c r="CA14" s="93"/>
      <c r="CC14" s="70"/>
      <c r="CD14" s="206" t="str">
        <f>BJ14</f>
        <v>Heraf beskattes som kapitalindkomst</v>
      </c>
      <c r="CE14" s="207"/>
      <c r="CF14" s="206">
        <f>Mellemregninger!D69</f>
        <v>0</v>
      </c>
      <c r="CG14" s="206">
        <f>Mellemregninger!E69</f>
        <v>0</v>
      </c>
      <c r="CH14" s="206">
        <f>Mellemregninger!F69</f>
        <v>0</v>
      </c>
      <c r="CI14" s="206">
        <f>Mellemregninger!G69</f>
        <v>0</v>
      </c>
      <c r="CJ14" s="206">
        <f>Mellemregninger!H69</f>
        <v>0</v>
      </c>
      <c r="CK14" s="206">
        <f>Mellemregninger!I69</f>
        <v>0</v>
      </c>
      <c r="CL14" s="206">
        <f>Mellemregninger!J69</f>
        <v>0</v>
      </c>
      <c r="CM14" s="206">
        <f>Mellemregninger!K69</f>
        <v>0</v>
      </c>
      <c r="CN14" s="206">
        <f>Mellemregninger!L69</f>
        <v>0</v>
      </c>
      <c r="CO14" s="206">
        <f>Mellemregninger!M69</f>
        <v>0</v>
      </c>
      <c r="CP14" s="206">
        <f>Mellemregninger!N69</f>
        <v>506.8216323852539</v>
      </c>
      <c r="CQ14" s="206">
        <f>Mellemregninger!O69</f>
        <v>380.11622428894043</v>
      </c>
      <c r="CR14" s="206">
        <f>Mellemregninger!P69</f>
        <v>285.0871682167053</v>
      </c>
      <c r="CS14" s="206">
        <f>Mellemregninger!Q69</f>
        <v>213.815376162529</v>
      </c>
      <c r="CT14" s="206">
        <f>Mellemregninger!R69</f>
        <v>160.36153212189674</v>
      </c>
      <c r="CU14" s="93"/>
      <c r="CW14" s="70"/>
      <c r="CX14" s="206" t="str">
        <f>CD14</f>
        <v>Heraf beskattes som kapitalindkomst</v>
      </c>
      <c r="CY14" s="207"/>
      <c r="CZ14" s="206">
        <f>Mellemregninger!D69</f>
        <v>0</v>
      </c>
      <c r="DA14" s="206">
        <f>Mellemregninger!E69</f>
        <v>0</v>
      </c>
      <c r="DB14" s="206">
        <f>Mellemregninger!F69</f>
        <v>0</v>
      </c>
      <c r="DC14" s="206">
        <f>Mellemregninger!G69</f>
        <v>0</v>
      </c>
      <c r="DD14" s="206">
        <f>Mellemregninger!H69</f>
        <v>0</v>
      </c>
      <c r="DE14" s="206">
        <f>Mellemregninger!I69</f>
        <v>0</v>
      </c>
      <c r="DF14" s="206">
        <f>Mellemregninger!J69</f>
        <v>0</v>
      </c>
      <c r="DG14" s="206">
        <f>Mellemregninger!K69</f>
        <v>0</v>
      </c>
      <c r="DH14" s="206">
        <f>Mellemregninger!L69</f>
        <v>0</v>
      </c>
      <c r="DI14" s="206">
        <f>Mellemregninger!M69</f>
        <v>0</v>
      </c>
      <c r="DJ14" s="206">
        <f>Mellemregninger!N69</f>
        <v>506.8216323852539</v>
      </c>
      <c r="DK14" s="206">
        <f>Mellemregninger!O69</f>
        <v>380.11622428894043</v>
      </c>
      <c r="DL14" s="206">
        <f>Mellemregninger!P69</f>
        <v>285.0871682167053</v>
      </c>
      <c r="DM14" s="206">
        <f>Mellemregninger!Q69</f>
        <v>213.815376162529</v>
      </c>
      <c r="DN14" s="206">
        <f>Mellemregninger!R69</f>
        <v>160.36153212189674</v>
      </c>
      <c r="DO14" s="93"/>
      <c r="DQ14" s="70"/>
    </row>
    <row r="15" spans="2:119" ht="25.5" customHeight="1">
      <c r="B15" s="382" t="s">
        <v>174</v>
      </c>
      <c r="C15" s="317"/>
      <c r="D15" s="317"/>
      <c r="E15" s="317"/>
      <c r="F15" s="317"/>
      <c r="G15" s="318"/>
      <c r="H15" s="59"/>
      <c r="I15" s="59"/>
      <c r="J15" s="251" t="s">
        <v>17</v>
      </c>
      <c r="K15" s="252">
        <f>X6</f>
        <v>600</v>
      </c>
      <c r="L15" s="253" t="s">
        <v>6</v>
      </c>
      <c r="M15" s="254"/>
      <c r="N15" s="60"/>
      <c r="O15" s="251" t="str">
        <f>V38</f>
        <v>Skatteværdi af underskud / overskud virksomhed</v>
      </c>
      <c r="P15" s="252">
        <f>X38</f>
        <v>20200</v>
      </c>
      <c r="Q15" s="254" t="str">
        <f>L15</f>
        <v>kr./år</v>
      </c>
      <c r="S15" s="104"/>
      <c r="U15" s="89"/>
      <c r="V15" s="365" t="s">
        <v>46</v>
      </c>
      <c r="W15" s="105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93"/>
      <c r="AO15" s="70"/>
      <c r="AP15" s="360" t="s">
        <v>46</v>
      </c>
      <c r="AQ15" s="105"/>
      <c r="AR15" s="269"/>
      <c r="AS15" s="269"/>
      <c r="AT15" s="269"/>
      <c r="AU15" s="269"/>
      <c r="AV15" s="269"/>
      <c r="AW15" s="269"/>
      <c r="AX15" s="269"/>
      <c r="AY15" s="269"/>
      <c r="AZ15" s="269"/>
      <c r="BA15" s="269"/>
      <c r="BB15" s="269"/>
      <c r="BC15" s="269"/>
      <c r="BD15" s="269"/>
      <c r="BE15" s="269"/>
      <c r="BF15" s="269"/>
      <c r="BG15" s="93"/>
      <c r="BJ15" s="57" t="s">
        <v>46</v>
      </c>
      <c r="BK15" s="10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93"/>
      <c r="CD15" s="57" t="s">
        <v>46</v>
      </c>
      <c r="CE15" s="10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93"/>
      <c r="CX15" s="57" t="s">
        <v>46</v>
      </c>
      <c r="CY15" s="10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93"/>
    </row>
    <row r="16" spans="2:119" ht="22.5" customHeight="1">
      <c r="B16" s="383" t="s">
        <v>144</v>
      </c>
      <c r="C16" s="250">
        <v>1000</v>
      </c>
      <c r="D16" s="109" t="s">
        <v>0</v>
      </c>
      <c r="E16" s="109" t="s">
        <v>137</v>
      </c>
      <c r="F16" s="330">
        <f>C16/C18</f>
        <v>0.0625</v>
      </c>
      <c r="G16" s="111" t="s">
        <v>139</v>
      </c>
      <c r="H16" s="59"/>
      <c r="I16" s="59"/>
      <c r="J16" s="257" t="str">
        <f>V7</f>
        <v>Værdi af eget forbrug af el</v>
      </c>
      <c r="K16" s="252">
        <f>X7</f>
        <v>9000</v>
      </c>
      <c r="L16" s="253" t="s">
        <v>6</v>
      </c>
      <c r="M16" s="254"/>
      <c r="N16" s="60"/>
      <c r="O16" s="257" t="str">
        <f>V39</f>
        <v>Indkøb af privat el (manglende produktion)</v>
      </c>
      <c r="P16" s="335">
        <f>X39</f>
        <v>0</v>
      </c>
      <c r="Q16" s="254" t="str">
        <f>L16</f>
        <v>kr./år</v>
      </c>
      <c r="S16" s="104"/>
      <c r="U16" s="89"/>
      <c r="V16" s="346" t="s">
        <v>50</v>
      </c>
      <c r="W16" s="95"/>
      <c r="X16" s="56">
        <f>X13</f>
        <v>-80800</v>
      </c>
      <c r="Y16" s="56">
        <f aca="true" t="shared" si="36" ref="Y16:AL16">Y13</f>
        <v>-60900</v>
      </c>
      <c r="Z16" s="56">
        <f t="shared" si="36"/>
        <v>-45687</v>
      </c>
      <c r="AA16" s="56">
        <f t="shared" si="36"/>
        <v>-33989.04</v>
      </c>
      <c r="AB16" s="56">
        <f t="shared" si="36"/>
        <v>-24927.1233</v>
      </c>
      <c r="AC16" s="56">
        <f t="shared" si="36"/>
        <v>-17841.974016</v>
      </c>
      <c r="AD16" s="56">
        <f t="shared" si="36"/>
        <v>-12239.10512757</v>
      </c>
      <c r="AE16" s="56">
        <f t="shared" si="36"/>
        <v>-7747.619419496401</v>
      </c>
      <c r="AF16" s="56">
        <f t="shared" si="36"/>
        <v>-4089.3100891519534</v>
      </c>
      <c r="AG16" s="56">
        <f t="shared" si="36"/>
        <v>-4055.486098080304</v>
      </c>
      <c r="AH16" s="56">
        <f t="shared" si="36"/>
        <v>-2289.591076406794</v>
      </c>
      <c r="AI16" s="56">
        <f t="shared" si="36"/>
        <v>-1274.1673862647858</v>
      </c>
      <c r="AJ16" s="56">
        <f t="shared" si="36"/>
        <v>-521.0790485964753</v>
      </c>
      <c r="AK16" s="56">
        <f t="shared" si="36"/>
        <v>35.82118869984515</v>
      </c>
      <c r="AL16" s="56">
        <f t="shared" si="36"/>
        <v>446.1916831092294</v>
      </c>
      <c r="AM16" s="93"/>
      <c r="AO16" s="70"/>
      <c r="AP16" s="346" t="s">
        <v>50</v>
      </c>
      <c r="AQ16" s="95"/>
      <c r="AR16" s="56">
        <f>AR13</f>
        <v>-81837.5</v>
      </c>
      <c r="AS16" s="56">
        <f aca="true" t="shared" si="37" ref="AS16:BF16">AS13</f>
        <v>-61893.75</v>
      </c>
      <c r="AT16" s="56">
        <f t="shared" si="37"/>
        <v>-46680.75</v>
      </c>
      <c r="AU16" s="56">
        <f t="shared" si="37"/>
        <v>-34982.79</v>
      </c>
      <c r="AV16" s="56">
        <f t="shared" si="37"/>
        <v>-25920.8733</v>
      </c>
      <c r="AW16" s="56">
        <f t="shared" si="37"/>
        <v>-18835.724016</v>
      </c>
      <c r="AX16" s="56">
        <f t="shared" si="37"/>
        <v>-13232.85512757</v>
      </c>
      <c r="AY16" s="56">
        <f t="shared" si="37"/>
        <v>-8741.369419496401</v>
      </c>
      <c r="AZ16" s="56">
        <f t="shared" si="37"/>
        <v>-5083.060089151953</v>
      </c>
      <c r="BA16" s="56">
        <f t="shared" si="37"/>
        <v>-2049.236098080304</v>
      </c>
      <c r="BB16" s="56">
        <f t="shared" si="37"/>
        <v>-2952.091076406794</v>
      </c>
      <c r="BC16" s="56">
        <f t="shared" si="37"/>
        <v>-1936.6673862647858</v>
      </c>
      <c r="BD16" s="56">
        <f t="shared" si="37"/>
        <v>-1183.5790485964753</v>
      </c>
      <c r="BE16" s="56">
        <f t="shared" si="37"/>
        <v>-626.6788113001539</v>
      </c>
      <c r="BF16" s="56">
        <f t="shared" si="37"/>
        <v>-216.30831689076967</v>
      </c>
      <c r="BG16" s="93"/>
      <c r="BJ16" s="58" t="s">
        <v>50</v>
      </c>
      <c r="BK16" s="95"/>
      <c r="BL16" s="95">
        <f>BL13</f>
        <v>-80800</v>
      </c>
      <c r="BM16" s="95">
        <f aca="true" t="shared" si="38" ref="BM16:BZ16">BM13</f>
        <v>-60920</v>
      </c>
      <c r="BN16" s="95">
        <f t="shared" si="38"/>
        <v>-45728.6</v>
      </c>
      <c r="BO16" s="95">
        <f t="shared" si="38"/>
        <v>-34053.937999999995</v>
      </c>
      <c r="BP16" s="95">
        <f t="shared" si="38"/>
        <v>-25017.12074</v>
      </c>
      <c r="BQ16" s="95">
        <f t="shared" si="38"/>
        <v>-17958.9815042</v>
      </c>
      <c r="BR16" s="95">
        <f t="shared" si="38"/>
        <v>-12385.148471666</v>
      </c>
      <c r="BS16" s="95">
        <f t="shared" si="38"/>
        <v>-7924.84597672778</v>
      </c>
      <c r="BT16" s="95">
        <f t="shared" si="38"/>
        <v>-4299.995451553399</v>
      </c>
      <c r="BU16" s="95">
        <f t="shared" si="38"/>
        <v>-1302.041130229576</v>
      </c>
      <c r="BV16" s="95">
        <f t="shared" si="38"/>
        <v>-2574.5693238401127</v>
      </c>
      <c r="BW16" s="95">
        <f t="shared" si="38"/>
        <v>-1600.2728736566532</v>
      </c>
      <c r="BX16" s="95">
        <f t="shared" si="38"/>
        <v>-891.174487772425</v>
      </c>
      <c r="BY16" s="95">
        <f t="shared" si="38"/>
        <v>-381.29424017182555</v>
      </c>
      <c r="BZ16" s="95">
        <f t="shared" si="38"/>
        <v>-21.15019147505609</v>
      </c>
      <c r="CA16" s="93"/>
      <c r="CD16" s="58" t="s">
        <v>50</v>
      </c>
      <c r="CE16" s="95"/>
      <c r="CF16" s="95">
        <f>CF13</f>
        <v>-77950</v>
      </c>
      <c r="CG16" s="95">
        <f aca="true" t="shared" si="39" ref="CG16:CT16">CG13</f>
        <v>-58350</v>
      </c>
      <c r="CH16" s="95">
        <f t="shared" si="39"/>
        <v>-43437</v>
      </c>
      <c r="CI16" s="95">
        <f t="shared" si="39"/>
        <v>-32039.04</v>
      </c>
      <c r="CJ16" s="95">
        <f t="shared" si="39"/>
        <v>-23277.1233</v>
      </c>
      <c r="CK16" s="95">
        <f t="shared" si="39"/>
        <v>-16491.974016</v>
      </c>
      <c r="CL16" s="95">
        <f t="shared" si="39"/>
        <v>-11189.10512757</v>
      </c>
      <c r="CM16" s="95">
        <f t="shared" si="39"/>
        <v>-6997.619419496401</v>
      </c>
      <c r="CN16" s="95">
        <f t="shared" si="39"/>
        <v>-3639.3100891519534</v>
      </c>
      <c r="CO16" s="95">
        <f t="shared" si="39"/>
        <v>-905.4860980803041</v>
      </c>
      <c r="CP16" s="95">
        <f t="shared" si="39"/>
        <v>-2289.591076406794</v>
      </c>
      <c r="CQ16" s="95">
        <f t="shared" si="39"/>
        <v>-1274.1673862647858</v>
      </c>
      <c r="CR16" s="95">
        <f t="shared" si="39"/>
        <v>-521.0790485964753</v>
      </c>
      <c r="CS16" s="95">
        <f t="shared" si="39"/>
        <v>35.82118869984515</v>
      </c>
      <c r="CT16" s="95">
        <f t="shared" si="39"/>
        <v>446.1916831092294</v>
      </c>
      <c r="CU16" s="93"/>
      <c r="CX16" s="58" t="s">
        <v>50</v>
      </c>
      <c r="CY16" s="95"/>
      <c r="CZ16" s="95">
        <f>CZ13</f>
        <v>-78930</v>
      </c>
      <c r="DA16" s="95">
        <f aca="true" t="shared" si="40" ref="DA16:DN16">DA13</f>
        <v>-59430</v>
      </c>
      <c r="DB16" s="95">
        <f t="shared" si="40"/>
        <v>-44622</v>
      </c>
      <c r="DC16" s="95">
        <f t="shared" si="40"/>
        <v>-33334.29</v>
      </c>
      <c r="DD16" s="95">
        <f t="shared" si="40"/>
        <v>-24688.1358</v>
      </c>
      <c r="DE16" s="95">
        <f t="shared" si="40"/>
        <v>-18024.537141</v>
      </c>
      <c r="DF16" s="95">
        <f t="shared" si="40"/>
        <v>-12849.29640882</v>
      </c>
      <c r="DG16" s="95">
        <f t="shared" si="40"/>
        <v>-8791.820264808899</v>
      </c>
      <c r="DH16" s="95">
        <f t="shared" si="40"/>
        <v>-5574.220976730077</v>
      </c>
      <c r="DI16" s="95">
        <f t="shared" si="40"/>
        <v>-2988.1425300373357</v>
      </c>
      <c r="DJ16" s="95">
        <f t="shared" si="40"/>
        <v>-4867.380329961676</v>
      </c>
      <c r="DK16" s="95">
        <f t="shared" si="40"/>
        <v>-4014.8461024974113</v>
      </c>
      <c r="DL16" s="95">
        <f t="shared" si="40"/>
        <v>-3432.7917006407333</v>
      </c>
      <c r="DM16" s="95">
        <f t="shared" si="40"/>
        <v>-3055.477095946625</v>
      </c>
      <c r="DN16" s="95">
        <f t="shared" si="40"/>
        <v>-2833.6715157695644</v>
      </c>
      <c r="DO16" s="93"/>
    </row>
    <row r="17" spans="2:119" ht="19.5" customHeight="1">
      <c r="B17" s="384" t="s">
        <v>145</v>
      </c>
      <c r="C17" s="255">
        <v>15000</v>
      </c>
      <c r="D17" s="256" t="s">
        <v>0</v>
      </c>
      <c r="E17" s="109" t="str">
        <f>E16</f>
        <v>pr. år</v>
      </c>
      <c r="F17" s="330">
        <f>C17/C18</f>
        <v>0.9375</v>
      </c>
      <c r="G17" s="111" t="str">
        <f>G16</f>
        <v>af total forbrug</v>
      </c>
      <c r="H17" s="59"/>
      <c r="I17" s="59"/>
      <c r="J17" s="257" t="str">
        <f>V9</f>
        <v>Driftsomkostninger</v>
      </c>
      <c r="K17" s="252">
        <f>X9</f>
        <v>-5000</v>
      </c>
      <c r="L17" s="253" t="str">
        <f>L16</f>
        <v>kr./år</v>
      </c>
      <c r="M17" s="254"/>
      <c r="N17" s="60"/>
      <c r="O17" s="251" t="s">
        <v>43</v>
      </c>
      <c r="P17" s="252">
        <f>X40</f>
        <v>30000</v>
      </c>
      <c r="Q17" s="254" t="s">
        <v>6</v>
      </c>
      <c r="S17" s="104"/>
      <c r="U17" s="89"/>
      <c r="V17" s="346" t="str">
        <f>V7</f>
        <v>Værdi af eget forbrug af el</v>
      </c>
      <c r="W17" s="95"/>
      <c r="X17" s="56">
        <f>-X7</f>
        <v>-9000</v>
      </c>
      <c r="Y17" s="56">
        <f aca="true" t="shared" si="41" ref="Y17:AL17">-Y7</f>
        <v>-9000</v>
      </c>
      <c r="Z17" s="56">
        <f t="shared" si="41"/>
        <v>-9000</v>
      </c>
      <c r="AA17" s="56">
        <f t="shared" si="41"/>
        <v>-9000</v>
      </c>
      <c r="AB17" s="56">
        <f t="shared" si="41"/>
        <v>-9000</v>
      </c>
      <c r="AC17" s="56">
        <f t="shared" si="41"/>
        <v>-9000</v>
      </c>
      <c r="AD17" s="56">
        <f t="shared" si="41"/>
        <v>-9000</v>
      </c>
      <c r="AE17" s="56">
        <f t="shared" si="41"/>
        <v>-9000</v>
      </c>
      <c r="AF17" s="56">
        <f t="shared" si="41"/>
        <v>-9000</v>
      </c>
      <c r="AG17" s="56">
        <f t="shared" si="41"/>
        <v>-6000</v>
      </c>
      <c r="AH17" s="56">
        <f t="shared" si="41"/>
        <v>-6000</v>
      </c>
      <c r="AI17" s="56">
        <f t="shared" si="41"/>
        <v>-6000</v>
      </c>
      <c r="AJ17" s="56">
        <f t="shared" si="41"/>
        <v>-6000</v>
      </c>
      <c r="AK17" s="56">
        <f t="shared" si="41"/>
        <v>-6000</v>
      </c>
      <c r="AL17" s="56">
        <f t="shared" si="41"/>
        <v>-6000</v>
      </c>
      <c r="AM17" s="93"/>
      <c r="AP17" s="346" t="str">
        <f>AP7</f>
        <v>Evt. værdi af eget forbrug af el</v>
      </c>
      <c r="AQ17" s="95"/>
      <c r="AR17" s="56">
        <f>-AR7</f>
        <v>-8606.25</v>
      </c>
      <c r="AS17" s="56">
        <f aca="true" t="shared" si="42" ref="AS17:BF17">-AS7</f>
        <v>-8606.25</v>
      </c>
      <c r="AT17" s="56">
        <f t="shared" si="42"/>
        <v>-8606.25</v>
      </c>
      <c r="AU17" s="56">
        <f t="shared" si="42"/>
        <v>-8606.25</v>
      </c>
      <c r="AV17" s="56">
        <f t="shared" si="42"/>
        <v>-8606.25</v>
      </c>
      <c r="AW17" s="56">
        <f t="shared" si="42"/>
        <v>-8606.25</v>
      </c>
      <c r="AX17" s="56">
        <f t="shared" si="42"/>
        <v>-8606.25</v>
      </c>
      <c r="AY17" s="56">
        <f t="shared" si="42"/>
        <v>-8606.25</v>
      </c>
      <c r="AZ17" s="56">
        <f t="shared" si="42"/>
        <v>-8606.25</v>
      </c>
      <c r="BA17" s="56">
        <f t="shared" si="42"/>
        <v>-8606.25</v>
      </c>
      <c r="BB17" s="56">
        <f t="shared" si="42"/>
        <v>-5737.5</v>
      </c>
      <c r="BC17" s="56">
        <f t="shared" si="42"/>
        <v>-5737.5</v>
      </c>
      <c r="BD17" s="56">
        <f t="shared" si="42"/>
        <v>-5737.5</v>
      </c>
      <c r="BE17" s="56">
        <f t="shared" si="42"/>
        <v>-5737.5</v>
      </c>
      <c r="BF17" s="56">
        <f t="shared" si="42"/>
        <v>-5737.5</v>
      </c>
      <c r="BG17" s="93"/>
      <c r="BJ17" s="58" t="str">
        <f>BJ7</f>
        <v>Evt. værdi af eget forbrug af el</v>
      </c>
      <c r="BK17" s="95"/>
      <c r="BL17" s="95">
        <f>-BL7</f>
        <v>-9000</v>
      </c>
      <c r="BM17" s="95">
        <f aca="true" t="shared" si="43" ref="BM17:BZ17">-BM7</f>
        <v>-9000</v>
      </c>
      <c r="BN17" s="95">
        <f t="shared" si="43"/>
        <v>-9000</v>
      </c>
      <c r="BO17" s="95">
        <f t="shared" si="43"/>
        <v>-9000</v>
      </c>
      <c r="BP17" s="95">
        <f t="shared" si="43"/>
        <v>-9000</v>
      </c>
      <c r="BQ17" s="95">
        <f t="shared" si="43"/>
        <v>-9000</v>
      </c>
      <c r="BR17" s="95">
        <f t="shared" si="43"/>
        <v>-9000</v>
      </c>
      <c r="BS17" s="95">
        <f t="shared" si="43"/>
        <v>-9000</v>
      </c>
      <c r="BT17" s="95">
        <f t="shared" si="43"/>
        <v>-9000</v>
      </c>
      <c r="BU17" s="95">
        <f t="shared" si="43"/>
        <v>-9000</v>
      </c>
      <c r="BV17" s="95">
        <f t="shared" si="43"/>
        <v>-6000</v>
      </c>
      <c r="BW17" s="95">
        <f t="shared" si="43"/>
        <v>-6000</v>
      </c>
      <c r="BX17" s="95">
        <f t="shared" si="43"/>
        <v>-6000</v>
      </c>
      <c r="BY17" s="95">
        <f t="shared" si="43"/>
        <v>-6000</v>
      </c>
      <c r="BZ17" s="95">
        <f t="shared" si="43"/>
        <v>-6000</v>
      </c>
      <c r="CA17" s="93"/>
      <c r="CD17" s="58" t="str">
        <f>CD7</f>
        <v>Evt. værdi af eget forbrug af el</v>
      </c>
      <c r="CE17" s="95"/>
      <c r="CF17" s="95">
        <f>-CF7</f>
        <v>-9000</v>
      </c>
      <c r="CG17" s="95">
        <f aca="true" t="shared" si="44" ref="CG17:CT17">-CG7</f>
        <v>-9000</v>
      </c>
      <c r="CH17" s="95">
        <f t="shared" si="44"/>
        <v>-9000</v>
      </c>
      <c r="CI17" s="95">
        <f t="shared" si="44"/>
        <v>-9000</v>
      </c>
      <c r="CJ17" s="95">
        <f t="shared" si="44"/>
        <v>-9000</v>
      </c>
      <c r="CK17" s="95">
        <f t="shared" si="44"/>
        <v>-9000</v>
      </c>
      <c r="CL17" s="95">
        <f t="shared" si="44"/>
        <v>-9000</v>
      </c>
      <c r="CM17" s="95">
        <f t="shared" si="44"/>
        <v>-9000</v>
      </c>
      <c r="CN17" s="95">
        <f t="shared" si="44"/>
        <v>-9000</v>
      </c>
      <c r="CO17" s="95">
        <f t="shared" si="44"/>
        <v>-9000</v>
      </c>
      <c r="CP17" s="95">
        <f t="shared" si="44"/>
        <v>-6000</v>
      </c>
      <c r="CQ17" s="95">
        <f t="shared" si="44"/>
        <v>-6000</v>
      </c>
      <c r="CR17" s="95">
        <f t="shared" si="44"/>
        <v>-6000</v>
      </c>
      <c r="CS17" s="95">
        <f t="shared" si="44"/>
        <v>-6000</v>
      </c>
      <c r="CT17" s="95">
        <f t="shared" si="44"/>
        <v>-6000</v>
      </c>
      <c r="CU17" s="93"/>
      <c r="CX17" s="58" t="str">
        <f>CX7</f>
        <v>Evt. værdi af eget forbrug af el</v>
      </c>
      <c r="CY17" s="95"/>
      <c r="CZ17" s="95">
        <f>-CZ7</f>
        <v>-9000</v>
      </c>
      <c r="DA17" s="95">
        <f aca="true" t="shared" si="45" ref="DA17:DN17">-DA7</f>
        <v>-9000</v>
      </c>
      <c r="DB17" s="95">
        <f t="shared" si="45"/>
        <v>-9000</v>
      </c>
      <c r="DC17" s="95">
        <f t="shared" si="45"/>
        <v>-9000</v>
      </c>
      <c r="DD17" s="95">
        <f t="shared" si="45"/>
        <v>-9000</v>
      </c>
      <c r="DE17" s="95">
        <f t="shared" si="45"/>
        <v>-9000</v>
      </c>
      <c r="DF17" s="95">
        <f t="shared" si="45"/>
        <v>-9000</v>
      </c>
      <c r="DG17" s="95">
        <f t="shared" si="45"/>
        <v>-9000</v>
      </c>
      <c r="DH17" s="95">
        <f t="shared" si="45"/>
        <v>-9000</v>
      </c>
      <c r="DI17" s="95">
        <f t="shared" si="45"/>
        <v>-9000</v>
      </c>
      <c r="DJ17" s="95">
        <f t="shared" si="45"/>
        <v>-6000</v>
      </c>
      <c r="DK17" s="95">
        <f t="shared" si="45"/>
        <v>-6000</v>
      </c>
      <c r="DL17" s="95">
        <f t="shared" si="45"/>
        <v>-6000</v>
      </c>
      <c r="DM17" s="95">
        <f t="shared" si="45"/>
        <v>-6000</v>
      </c>
      <c r="DN17" s="95">
        <f t="shared" si="45"/>
        <v>-6000</v>
      </c>
      <c r="DO17" s="93"/>
    </row>
    <row r="18" spans="2:119" ht="23.25" customHeight="1" thickBot="1">
      <c r="B18" s="385" t="s">
        <v>140</v>
      </c>
      <c r="C18" s="258">
        <f>SUM(C16:C17)</f>
        <v>16000</v>
      </c>
      <c r="D18" s="259" t="str">
        <f>D17</f>
        <v>kWh</v>
      </c>
      <c r="E18" s="259" t="str">
        <f>E17</f>
        <v>pr. år</v>
      </c>
      <c r="F18" s="331">
        <f>SUM(F16:F17)</f>
        <v>1</v>
      </c>
      <c r="G18" s="260" t="str">
        <f>G17</f>
        <v>af total forbrug</v>
      </c>
      <c r="H18" s="59"/>
      <c r="I18" s="59"/>
      <c r="J18" s="402" t="str">
        <f>V8</f>
        <v>Sparet indkøb af el til erhverv</v>
      </c>
      <c r="K18" s="403">
        <f>X8</f>
        <v>1000</v>
      </c>
      <c r="L18" s="112" t="str">
        <f>L16</f>
        <v>kr./år</v>
      </c>
      <c r="M18" s="404"/>
      <c r="N18" s="60"/>
      <c r="O18" s="251" t="s">
        <v>66</v>
      </c>
      <c r="P18" s="252">
        <f>SUM(P15:P17)</f>
        <v>50200</v>
      </c>
      <c r="Q18" s="254" t="str">
        <f>Q17</f>
        <v>kr./år</v>
      </c>
      <c r="S18" s="113"/>
      <c r="U18" s="89"/>
      <c r="V18" s="362" t="s">
        <v>161</v>
      </c>
      <c r="W18" s="217"/>
      <c r="X18" s="265">
        <f>'Mellemregning 2'!E11</f>
        <v>0</v>
      </c>
      <c r="Y18" s="266">
        <f>X18+X18*$C$41</f>
        <v>0</v>
      </c>
      <c r="Z18" s="266">
        <f aca="true" t="shared" si="46" ref="Z18:AL18">Y18+Y18*$C$41</f>
        <v>0</v>
      </c>
      <c r="AA18" s="266">
        <f t="shared" si="46"/>
        <v>0</v>
      </c>
      <c r="AB18" s="266">
        <f t="shared" si="46"/>
        <v>0</v>
      </c>
      <c r="AC18" s="266">
        <f t="shared" si="46"/>
        <v>0</v>
      </c>
      <c r="AD18" s="266">
        <f t="shared" si="46"/>
        <v>0</v>
      </c>
      <c r="AE18" s="266">
        <f t="shared" si="46"/>
        <v>0</v>
      </c>
      <c r="AF18" s="266">
        <f t="shared" si="46"/>
        <v>0</v>
      </c>
      <c r="AG18" s="266">
        <f t="shared" si="46"/>
        <v>0</v>
      </c>
      <c r="AH18" s="266">
        <f t="shared" si="46"/>
        <v>0</v>
      </c>
      <c r="AI18" s="266">
        <f t="shared" si="46"/>
        <v>0</v>
      </c>
      <c r="AJ18" s="266">
        <f t="shared" si="46"/>
        <v>0</v>
      </c>
      <c r="AK18" s="266">
        <f t="shared" si="46"/>
        <v>0</v>
      </c>
      <c r="AL18" s="266">
        <f t="shared" si="46"/>
        <v>0</v>
      </c>
      <c r="AM18" s="93"/>
      <c r="AP18" s="345" t="str">
        <f>V18</f>
        <v>Indkøb af el til erhverv (manglende produktion)</v>
      </c>
      <c r="AQ18" s="90"/>
      <c r="AR18" s="210">
        <f>'Mellemregning 2'!E27</f>
        <v>-43.75</v>
      </c>
      <c r="AS18" s="281">
        <f>AR18+AR18*$C$41</f>
        <v>-45.9375</v>
      </c>
      <c r="AT18" s="281">
        <f aca="true" t="shared" si="47" ref="AT18:BF18">AS18+AS18*$C$41</f>
        <v>-48.234375</v>
      </c>
      <c r="AU18" s="281">
        <f t="shared" si="47"/>
        <v>-50.64609375</v>
      </c>
      <c r="AV18" s="281">
        <f t="shared" si="47"/>
        <v>-53.1783984375</v>
      </c>
      <c r="AW18" s="281">
        <f t="shared" si="47"/>
        <v>-55.837318359375004</v>
      </c>
      <c r="AX18" s="281">
        <f t="shared" si="47"/>
        <v>-58.629184277343754</v>
      </c>
      <c r="AY18" s="281">
        <f t="shared" si="47"/>
        <v>-61.56064349121094</v>
      </c>
      <c r="AZ18" s="281">
        <f t="shared" si="47"/>
        <v>-64.63867566577149</v>
      </c>
      <c r="BA18" s="281">
        <f t="shared" si="47"/>
        <v>-67.87060944906005</v>
      </c>
      <c r="BB18" s="281">
        <f t="shared" si="47"/>
        <v>-71.26413992151306</v>
      </c>
      <c r="BC18" s="281">
        <f t="shared" si="47"/>
        <v>-74.82734691758871</v>
      </c>
      <c r="BD18" s="281">
        <f t="shared" si="47"/>
        <v>-78.56871426346815</v>
      </c>
      <c r="BE18" s="281">
        <f t="shared" si="47"/>
        <v>-82.49714997664157</v>
      </c>
      <c r="BF18" s="281">
        <f t="shared" si="47"/>
        <v>-86.62200747547365</v>
      </c>
      <c r="BG18" s="93"/>
      <c r="BJ18" s="90" t="str">
        <f>AP18</f>
        <v>Indkøb af el til erhverv (manglende produktion)</v>
      </c>
      <c r="BK18" s="91"/>
      <c r="BL18" s="92">
        <f>'Mellemregning 2'!E11</f>
        <v>0</v>
      </c>
      <c r="BM18" s="94">
        <f>BL18+BL18*($C$41-2%)</f>
        <v>0</v>
      </c>
      <c r="BN18" s="94">
        <f aca="true" t="shared" si="48" ref="BN18:BZ18">BM18+BM18*($C$41-2%)</f>
        <v>0</v>
      </c>
      <c r="BO18" s="94">
        <f t="shared" si="48"/>
        <v>0</v>
      </c>
      <c r="BP18" s="94">
        <f t="shared" si="48"/>
        <v>0</v>
      </c>
      <c r="BQ18" s="94">
        <f t="shared" si="48"/>
        <v>0</v>
      </c>
      <c r="BR18" s="94">
        <f t="shared" si="48"/>
        <v>0</v>
      </c>
      <c r="BS18" s="94">
        <f t="shared" si="48"/>
        <v>0</v>
      </c>
      <c r="BT18" s="94">
        <f t="shared" si="48"/>
        <v>0</v>
      </c>
      <c r="BU18" s="94">
        <f t="shared" si="48"/>
        <v>0</v>
      </c>
      <c r="BV18" s="94">
        <f t="shared" si="48"/>
        <v>0</v>
      </c>
      <c r="BW18" s="94">
        <f t="shared" si="48"/>
        <v>0</v>
      </c>
      <c r="BX18" s="94">
        <f t="shared" si="48"/>
        <v>0</v>
      </c>
      <c r="BY18" s="94">
        <f t="shared" si="48"/>
        <v>0</v>
      </c>
      <c r="BZ18" s="94">
        <f t="shared" si="48"/>
        <v>0</v>
      </c>
      <c r="CA18" s="93"/>
      <c r="CD18" s="90" t="str">
        <f>BJ18</f>
        <v>Indkøb af el til erhverv (manglende produktion)</v>
      </c>
      <c r="CE18" s="91"/>
      <c r="CF18" s="92">
        <f>'Mellemregning 2'!E11</f>
        <v>0</v>
      </c>
      <c r="CG18" s="281">
        <f>CF18+CF18*$C$41</f>
        <v>0</v>
      </c>
      <c r="CH18" s="281">
        <f aca="true" t="shared" si="49" ref="CH18:CT18">CG18+CG18*$C$41</f>
        <v>0</v>
      </c>
      <c r="CI18" s="281">
        <f t="shared" si="49"/>
        <v>0</v>
      </c>
      <c r="CJ18" s="281">
        <f t="shared" si="49"/>
        <v>0</v>
      </c>
      <c r="CK18" s="281">
        <f t="shared" si="49"/>
        <v>0</v>
      </c>
      <c r="CL18" s="281">
        <f t="shared" si="49"/>
        <v>0</v>
      </c>
      <c r="CM18" s="281">
        <f t="shared" si="49"/>
        <v>0</v>
      </c>
      <c r="CN18" s="281">
        <f t="shared" si="49"/>
        <v>0</v>
      </c>
      <c r="CO18" s="281">
        <f t="shared" si="49"/>
        <v>0</v>
      </c>
      <c r="CP18" s="281">
        <f t="shared" si="49"/>
        <v>0</v>
      </c>
      <c r="CQ18" s="281">
        <f t="shared" si="49"/>
        <v>0</v>
      </c>
      <c r="CR18" s="281">
        <f t="shared" si="49"/>
        <v>0</v>
      </c>
      <c r="CS18" s="281">
        <f t="shared" si="49"/>
        <v>0</v>
      </c>
      <c r="CT18" s="281">
        <f t="shared" si="49"/>
        <v>0</v>
      </c>
      <c r="CU18" s="93"/>
      <c r="CX18" s="90" t="str">
        <f>CD18</f>
        <v>Indkøb af el til erhverv (manglende produktion)</v>
      </c>
      <c r="CY18" s="91"/>
      <c r="CZ18" s="92">
        <f>'Mellemregning 2'!E45</f>
        <v>0</v>
      </c>
      <c r="DA18" s="281">
        <f>CZ18+CZ18*$C$41</f>
        <v>0</v>
      </c>
      <c r="DB18" s="281">
        <f aca="true" t="shared" si="50" ref="DB18:DN18">DA18+DA18*$C$41</f>
        <v>0</v>
      </c>
      <c r="DC18" s="281">
        <f t="shared" si="50"/>
        <v>0</v>
      </c>
      <c r="DD18" s="281">
        <f t="shared" si="50"/>
        <v>0</v>
      </c>
      <c r="DE18" s="281">
        <f t="shared" si="50"/>
        <v>0</v>
      </c>
      <c r="DF18" s="281">
        <f t="shared" si="50"/>
        <v>0</v>
      </c>
      <c r="DG18" s="281">
        <f t="shared" si="50"/>
        <v>0</v>
      </c>
      <c r="DH18" s="281">
        <f t="shared" si="50"/>
        <v>0</v>
      </c>
      <c r="DI18" s="281">
        <f t="shared" si="50"/>
        <v>0</v>
      </c>
      <c r="DJ18" s="281">
        <f t="shared" si="50"/>
        <v>0</v>
      </c>
      <c r="DK18" s="281">
        <f t="shared" si="50"/>
        <v>0</v>
      </c>
      <c r="DL18" s="281">
        <f t="shared" si="50"/>
        <v>0</v>
      </c>
      <c r="DM18" s="281">
        <f t="shared" si="50"/>
        <v>0</v>
      </c>
      <c r="DN18" s="281">
        <f t="shared" si="50"/>
        <v>0</v>
      </c>
      <c r="DO18" s="93"/>
    </row>
    <row r="19" spans="2:119" ht="18" customHeight="1" thickTop="1">
      <c r="B19" s="382"/>
      <c r="C19" s="261"/>
      <c r="D19" s="261"/>
      <c r="E19" s="227"/>
      <c r="F19" s="332"/>
      <c r="G19" s="228"/>
      <c r="H19" s="59"/>
      <c r="I19" s="59"/>
      <c r="J19" s="251" t="s">
        <v>247</v>
      </c>
      <c r="K19" s="252">
        <f>SUM(K15:K18)</f>
        <v>5600</v>
      </c>
      <c r="L19" s="253" t="s">
        <v>6</v>
      </c>
      <c r="M19" s="254"/>
      <c r="N19" s="60"/>
      <c r="O19" s="251"/>
      <c r="P19" s="252"/>
      <c r="Q19" s="254"/>
      <c r="S19" s="104"/>
      <c r="U19" s="89"/>
      <c r="V19" s="346" t="s">
        <v>51</v>
      </c>
      <c r="W19" s="91"/>
      <c r="X19" s="56">
        <f>-X10</f>
        <v>75000</v>
      </c>
      <c r="Y19" s="56">
        <f aca="true" t="shared" si="51" ref="Y19:AL19">-Y10</f>
        <v>56250</v>
      </c>
      <c r="Z19" s="56">
        <f t="shared" si="51"/>
        <v>42187.5</v>
      </c>
      <c r="AA19" s="56">
        <f t="shared" si="51"/>
        <v>31640.625</v>
      </c>
      <c r="AB19" s="56">
        <f t="shared" si="51"/>
        <v>23730.46875</v>
      </c>
      <c r="AC19" s="56">
        <f t="shared" si="51"/>
        <v>17797.8515625</v>
      </c>
      <c r="AD19" s="56">
        <f t="shared" si="51"/>
        <v>13348.388671875</v>
      </c>
      <c r="AE19" s="56">
        <f t="shared" si="51"/>
        <v>10011.29150390625</v>
      </c>
      <c r="AF19" s="56">
        <f t="shared" si="51"/>
        <v>7508.4686279296875</v>
      </c>
      <c r="AG19" s="56">
        <f t="shared" si="51"/>
        <v>5631.351470947266</v>
      </c>
      <c r="AH19" s="56">
        <f t="shared" si="51"/>
        <v>4223.513603210449</v>
      </c>
      <c r="AI19" s="56">
        <f t="shared" si="51"/>
        <v>3167.635202407837</v>
      </c>
      <c r="AJ19" s="56">
        <f t="shared" si="51"/>
        <v>2375.7264018058777</v>
      </c>
      <c r="AK19" s="56">
        <f t="shared" si="51"/>
        <v>1781.7948013544083</v>
      </c>
      <c r="AL19" s="56">
        <f t="shared" si="51"/>
        <v>1336.3461010158062</v>
      </c>
      <c r="AM19" s="93"/>
      <c r="AP19" s="346" t="s">
        <v>51</v>
      </c>
      <c r="AQ19" s="91"/>
      <c r="AR19" s="56">
        <f>-AR10</f>
        <v>75000</v>
      </c>
      <c r="AS19" s="56">
        <f aca="true" t="shared" si="52" ref="AS19:BF19">-AS10</f>
        <v>56250</v>
      </c>
      <c r="AT19" s="56">
        <f t="shared" si="52"/>
        <v>42187.5</v>
      </c>
      <c r="AU19" s="56">
        <f t="shared" si="52"/>
        <v>31640.625</v>
      </c>
      <c r="AV19" s="56">
        <f t="shared" si="52"/>
        <v>23730.46875</v>
      </c>
      <c r="AW19" s="56">
        <f t="shared" si="52"/>
        <v>17797.8515625</v>
      </c>
      <c r="AX19" s="56">
        <f t="shared" si="52"/>
        <v>13348.388671875</v>
      </c>
      <c r="AY19" s="56">
        <f t="shared" si="52"/>
        <v>10011.29150390625</v>
      </c>
      <c r="AZ19" s="56">
        <f t="shared" si="52"/>
        <v>7508.4686279296875</v>
      </c>
      <c r="BA19" s="56">
        <f t="shared" si="52"/>
        <v>5631.351470947266</v>
      </c>
      <c r="BB19" s="56">
        <f t="shared" si="52"/>
        <v>4223.513603210449</v>
      </c>
      <c r="BC19" s="56">
        <f t="shared" si="52"/>
        <v>3167.635202407837</v>
      </c>
      <c r="BD19" s="56">
        <f t="shared" si="52"/>
        <v>2375.7264018058777</v>
      </c>
      <c r="BE19" s="56">
        <f t="shared" si="52"/>
        <v>1781.7948013544083</v>
      </c>
      <c r="BF19" s="56">
        <f t="shared" si="52"/>
        <v>1336.3461010158062</v>
      </c>
      <c r="BG19" s="93"/>
      <c r="BJ19" s="58" t="s">
        <v>51</v>
      </c>
      <c r="BK19" s="91"/>
      <c r="BL19" s="94">
        <f>-BL10</f>
        <v>75000</v>
      </c>
      <c r="BM19" s="94">
        <f aca="true" t="shared" si="53" ref="BM19:BZ19">-BM10</f>
        <v>56250</v>
      </c>
      <c r="BN19" s="94">
        <f t="shared" si="53"/>
        <v>42187.5</v>
      </c>
      <c r="BO19" s="94">
        <f t="shared" si="53"/>
        <v>31640.625</v>
      </c>
      <c r="BP19" s="94">
        <f t="shared" si="53"/>
        <v>23730.46875</v>
      </c>
      <c r="BQ19" s="94">
        <f t="shared" si="53"/>
        <v>17797.8515625</v>
      </c>
      <c r="BR19" s="94">
        <f t="shared" si="53"/>
        <v>13348.388671875</v>
      </c>
      <c r="BS19" s="94">
        <f t="shared" si="53"/>
        <v>10011.29150390625</v>
      </c>
      <c r="BT19" s="94">
        <f t="shared" si="53"/>
        <v>7508.4686279296875</v>
      </c>
      <c r="BU19" s="94">
        <f t="shared" si="53"/>
        <v>5631.351470947266</v>
      </c>
      <c r="BV19" s="94">
        <f t="shared" si="53"/>
        <v>4223.513603210449</v>
      </c>
      <c r="BW19" s="94">
        <f t="shared" si="53"/>
        <v>3167.635202407837</v>
      </c>
      <c r="BX19" s="94">
        <f t="shared" si="53"/>
        <v>2375.7264018058777</v>
      </c>
      <c r="BY19" s="94">
        <f t="shared" si="53"/>
        <v>1781.7948013544083</v>
      </c>
      <c r="BZ19" s="94">
        <f t="shared" si="53"/>
        <v>1336.3461010158062</v>
      </c>
      <c r="CA19" s="93"/>
      <c r="CD19" s="58" t="s">
        <v>51</v>
      </c>
      <c r="CE19" s="91"/>
      <c r="CF19" s="94">
        <f>-CF10</f>
        <v>75000</v>
      </c>
      <c r="CG19" s="94">
        <f aca="true" t="shared" si="54" ref="CG19:CT19">-CG10</f>
        <v>56250</v>
      </c>
      <c r="CH19" s="94">
        <f t="shared" si="54"/>
        <v>42187.5</v>
      </c>
      <c r="CI19" s="94">
        <f t="shared" si="54"/>
        <v>31640.625</v>
      </c>
      <c r="CJ19" s="94">
        <f t="shared" si="54"/>
        <v>23730.46875</v>
      </c>
      <c r="CK19" s="94">
        <f t="shared" si="54"/>
        <v>17797.8515625</v>
      </c>
      <c r="CL19" s="94">
        <f t="shared" si="54"/>
        <v>13348.388671875</v>
      </c>
      <c r="CM19" s="94">
        <f t="shared" si="54"/>
        <v>10011.29150390625</v>
      </c>
      <c r="CN19" s="94">
        <f t="shared" si="54"/>
        <v>7508.4686279296875</v>
      </c>
      <c r="CO19" s="94">
        <f t="shared" si="54"/>
        <v>5631.351470947266</v>
      </c>
      <c r="CP19" s="94">
        <f t="shared" si="54"/>
        <v>4223.513603210449</v>
      </c>
      <c r="CQ19" s="94">
        <f t="shared" si="54"/>
        <v>3167.635202407837</v>
      </c>
      <c r="CR19" s="94">
        <f t="shared" si="54"/>
        <v>2375.7264018058777</v>
      </c>
      <c r="CS19" s="94">
        <f t="shared" si="54"/>
        <v>1781.7948013544083</v>
      </c>
      <c r="CT19" s="94">
        <f t="shared" si="54"/>
        <v>1336.3461010158062</v>
      </c>
      <c r="CU19" s="93"/>
      <c r="CX19" s="58" t="s">
        <v>51</v>
      </c>
      <c r="CY19" s="91"/>
      <c r="CZ19" s="94">
        <f>-CZ10</f>
        <v>75000</v>
      </c>
      <c r="DA19" s="94">
        <f aca="true" t="shared" si="55" ref="DA19:DN19">-DA10</f>
        <v>56250</v>
      </c>
      <c r="DB19" s="94">
        <f t="shared" si="55"/>
        <v>42187.5</v>
      </c>
      <c r="DC19" s="94">
        <f t="shared" si="55"/>
        <v>31640.625</v>
      </c>
      <c r="DD19" s="94">
        <f t="shared" si="55"/>
        <v>23730.46875</v>
      </c>
      <c r="DE19" s="94">
        <f t="shared" si="55"/>
        <v>17797.8515625</v>
      </c>
      <c r="DF19" s="94">
        <f t="shared" si="55"/>
        <v>13348.388671875</v>
      </c>
      <c r="DG19" s="94">
        <f t="shared" si="55"/>
        <v>10011.29150390625</v>
      </c>
      <c r="DH19" s="94">
        <f t="shared" si="55"/>
        <v>7508.4686279296875</v>
      </c>
      <c r="DI19" s="94">
        <f t="shared" si="55"/>
        <v>5631.351470947266</v>
      </c>
      <c r="DJ19" s="94">
        <f t="shared" si="55"/>
        <v>4223.513603210449</v>
      </c>
      <c r="DK19" s="94">
        <f t="shared" si="55"/>
        <v>3167.635202407837</v>
      </c>
      <c r="DL19" s="94">
        <f t="shared" si="55"/>
        <v>2375.7264018058777</v>
      </c>
      <c r="DM19" s="94">
        <f t="shared" si="55"/>
        <v>1781.7948013544083</v>
      </c>
      <c r="DN19" s="94">
        <f t="shared" si="55"/>
        <v>1336.3461010158062</v>
      </c>
      <c r="DO19" s="93"/>
    </row>
    <row r="20" spans="2:119" ht="21" customHeight="1">
      <c r="B20" s="444" t="s">
        <v>12</v>
      </c>
      <c r="C20" s="261"/>
      <c r="D20" s="227"/>
      <c r="E20" s="227"/>
      <c r="F20" s="263"/>
      <c r="G20" s="228"/>
      <c r="H20" s="59"/>
      <c r="I20" s="59"/>
      <c r="J20" s="251" t="s">
        <v>248</v>
      </c>
      <c r="K20" s="252">
        <f>X10</f>
        <v>-75000</v>
      </c>
      <c r="L20" s="253" t="str">
        <f>L19</f>
        <v>kr./år</v>
      </c>
      <c r="M20" s="254"/>
      <c r="N20" s="60"/>
      <c r="O20" s="251" t="s">
        <v>67</v>
      </c>
      <c r="P20" s="252">
        <f>X21</f>
        <v>-44800</v>
      </c>
      <c r="Q20" s="254" t="str">
        <f>Q18</f>
        <v>kr./år</v>
      </c>
      <c r="S20" s="104"/>
      <c r="U20" s="89"/>
      <c r="V20" s="346" t="s">
        <v>13</v>
      </c>
      <c r="W20" s="91"/>
      <c r="X20" s="56">
        <f>-Mellemregninger!D26</f>
        <v>-30000</v>
      </c>
      <c r="Y20" s="56">
        <f>-Mellemregninger!E26</f>
        <v>-30000</v>
      </c>
      <c r="Z20" s="56">
        <f>-Mellemregninger!F26</f>
        <v>-30000</v>
      </c>
      <c r="AA20" s="56">
        <f>-Mellemregninger!G26</f>
        <v>-30000</v>
      </c>
      <c r="AB20" s="56">
        <f>-Mellemregninger!H26</f>
        <v>-30000</v>
      </c>
      <c r="AC20" s="56">
        <f>-Mellemregninger!I26</f>
        <v>-30000</v>
      </c>
      <c r="AD20" s="56">
        <f>-Mellemregninger!J26</f>
        <v>-30000</v>
      </c>
      <c r="AE20" s="56">
        <f>-Mellemregninger!K26</f>
        <v>-30000</v>
      </c>
      <c r="AF20" s="56">
        <f>-Mellemregninger!L26</f>
        <v>-30000</v>
      </c>
      <c r="AG20" s="56">
        <f>-Mellemregninger!M26</f>
        <v>-30000</v>
      </c>
      <c r="AH20" s="56">
        <f>-Mellemregninger!N26</f>
        <v>0</v>
      </c>
      <c r="AI20" s="56">
        <f>-Mellemregninger!O26</f>
        <v>0</v>
      </c>
      <c r="AJ20" s="56">
        <f>-Mellemregninger!P26</f>
        <v>0</v>
      </c>
      <c r="AK20" s="56">
        <f>-Mellemregninger!Q26</f>
        <v>0</v>
      </c>
      <c r="AL20" s="56">
        <f>-Mellemregninger!R26</f>
        <v>0</v>
      </c>
      <c r="AM20" s="93"/>
      <c r="AO20" s="70">
        <f>SUM(X20:AN20)</f>
        <v>-300000</v>
      </c>
      <c r="AP20" s="346" t="s">
        <v>13</v>
      </c>
      <c r="AQ20" s="91"/>
      <c r="AR20" s="56">
        <f>X20</f>
        <v>-30000</v>
      </c>
      <c r="AS20" s="56">
        <f aca="true" t="shared" si="56" ref="AS20:BF20">Y20</f>
        <v>-30000</v>
      </c>
      <c r="AT20" s="56">
        <f t="shared" si="56"/>
        <v>-30000</v>
      </c>
      <c r="AU20" s="56">
        <f t="shared" si="56"/>
        <v>-30000</v>
      </c>
      <c r="AV20" s="56">
        <f t="shared" si="56"/>
        <v>-30000</v>
      </c>
      <c r="AW20" s="56">
        <f t="shared" si="56"/>
        <v>-30000</v>
      </c>
      <c r="AX20" s="56">
        <f t="shared" si="56"/>
        <v>-30000</v>
      </c>
      <c r="AY20" s="56">
        <f t="shared" si="56"/>
        <v>-30000</v>
      </c>
      <c r="AZ20" s="56">
        <f t="shared" si="56"/>
        <v>-30000</v>
      </c>
      <c r="BA20" s="56">
        <f t="shared" si="56"/>
        <v>-30000</v>
      </c>
      <c r="BB20" s="56">
        <f t="shared" si="56"/>
        <v>0</v>
      </c>
      <c r="BC20" s="56">
        <f t="shared" si="56"/>
        <v>0</v>
      </c>
      <c r="BD20" s="56">
        <f t="shared" si="56"/>
        <v>0</v>
      </c>
      <c r="BE20" s="56">
        <f t="shared" si="56"/>
        <v>0</v>
      </c>
      <c r="BF20" s="56">
        <f t="shared" si="56"/>
        <v>0</v>
      </c>
      <c r="BG20" s="93"/>
      <c r="BJ20" s="58" t="s">
        <v>13</v>
      </c>
      <c r="BK20" s="91"/>
      <c r="BL20" s="94">
        <f>X20</f>
        <v>-30000</v>
      </c>
      <c r="BM20" s="94">
        <f aca="true" t="shared" si="57" ref="BM20:BZ20">Y20</f>
        <v>-30000</v>
      </c>
      <c r="BN20" s="94">
        <f t="shared" si="57"/>
        <v>-30000</v>
      </c>
      <c r="BO20" s="94">
        <f t="shared" si="57"/>
        <v>-30000</v>
      </c>
      <c r="BP20" s="94">
        <f t="shared" si="57"/>
        <v>-30000</v>
      </c>
      <c r="BQ20" s="94">
        <f t="shared" si="57"/>
        <v>-30000</v>
      </c>
      <c r="BR20" s="94">
        <f t="shared" si="57"/>
        <v>-30000</v>
      </c>
      <c r="BS20" s="94">
        <f t="shared" si="57"/>
        <v>-30000</v>
      </c>
      <c r="BT20" s="94">
        <f t="shared" si="57"/>
        <v>-30000</v>
      </c>
      <c r="BU20" s="94">
        <f t="shared" si="57"/>
        <v>-30000</v>
      </c>
      <c r="BV20" s="94">
        <f t="shared" si="57"/>
        <v>0</v>
      </c>
      <c r="BW20" s="94">
        <f t="shared" si="57"/>
        <v>0</v>
      </c>
      <c r="BX20" s="94">
        <f t="shared" si="57"/>
        <v>0</v>
      </c>
      <c r="BY20" s="94">
        <f t="shared" si="57"/>
        <v>0</v>
      </c>
      <c r="BZ20" s="94">
        <f t="shared" si="57"/>
        <v>0</v>
      </c>
      <c r="CA20" s="93"/>
      <c r="CD20" s="58" t="s">
        <v>13</v>
      </c>
      <c r="CE20" s="91"/>
      <c r="CF20" s="94">
        <f>X20</f>
        <v>-30000</v>
      </c>
      <c r="CG20" s="94">
        <f aca="true" t="shared" si="58" ref="CG20:CT20">Y20</f>
        <v>-30000</v>
      </c>
      <c r="CH20" s="94">
        <f t="shared" si="58"/>
        <v>-30000</v>
      </c>
      <c r="CI20" s="94">
        <f t="shared" si="58"/>
        <v>-30000</v>
      </c>
      <c r="CJ20" s="94">
        <f t="shared" si="58"/>
        <v>-30000</v>
      </c>
      <c r="CK20" s="94">
        <f t="shared" si="58"/>
        <v>-30000</v>
      </c>
      <c r="CL20" s="94">
        <f t="shared" si="58"/>
        <v>-30000</v>
      </c>
      <c r="CM20" s="94">
        <f t="shared" si="58"/>
        <v>-30000</v>
      </c>
      <c r="CN20" s="94">
        <f t="shared" si="58"/>
        <v>-30000</v>
      </c>
      <c r="CO20" s="94">
        <f t="shared" si="58"/>
        <v>-30000</v>
      </c>
      <c r="CP20" s="94">
        <f t="shared" si="58"/>
        <v>0</v>
      </c>
      <c r="CQ20" s="94">
        <f t="shared" si="58"/>
        <v>0</v>
      </c>
      <c r="CR20" s="94">
        <f t="shared" si="58"/>
        <v>0</v>
      </c>
      <c r="CS20" s="94">
        <f t="shared" si="58"/>
        <v>0</v>
      </c>
      <c r="CT20" s="94">
        <f t="shared" si="58"/>
        <v>0</v>
      </c>
      <c r="CU20" s="93"/>
      <c r="CW20" s="70">
        <f>SUM(CF20:CV20)</f>
        <v>-300000</v>
      </c>
      <c r="CX20" s="58" t="s">
        <v>13</v>
      </c>
      <c r="CY20" s="91"/>
      <c r="CZ20" s="94">
        <f>CF20</f>
        <v>-30000</v>
      </c>
      <c r="DA20" s="94">
        <f aca="true" t="shared" si="59" ref="DA20:DN20">CG20</f>
        <v>-30000</v>
      </c>
      <c r="DB20" s="94">
        <f t="shared" si="59"/>
        <v>-30000</v>
      </c>
      <c r="DC20" s="94">
        <f t="shared" si="59"/>
        <v>-30000</v>
      </c>
      <c r="DD20" s="94">
        <f t="shared" si="59"/>
        <v>-30000</v>
      </c>
      <c r="DE20" s="94">
        <f t="shared" si="59"/>
        <v>-30000</v>
      </c>
      <c r="DF20" s="94">
        <f t="shared" si="59"/>
        <v>-30000</v>
      </c>
      <c r="DG20" s="94">
        <f t="shared" si="59"/>
        <v>-30000</v>
      </c>
      <c r="DH20" s="94">
        <f t="shared" si="59"/>
        <v>-30000</v>
      </c>
      <c r="DI20" s="94">
        <f t="shared" si="59"/>
        <v>-30000</v>
      </c>
      <c r="DJ20" s="94">
        <f t="shared" si="59"/>
        <v>0</v>
      </c>
      <c r="DK20" s="94">
        <f t="shared" si="59"/>
        <v>0</v>
      </c>
      <c r="DL20" s="94">
        <f t="shared" si="59"/>
        <v>0</v>
      </c>
      <c r="DM20" s="94">
        <f t="shared" si="59"/>
        <v>0</v>
      </c>
      <c r="DN20" s="94">
        <f t="shared" si="59"/>
        <v>0</v>
      </c>
      <c r="DO20" s="93"/>
    </row>
    <row r="21" spans="2:119" ht="21" customHeight="1" thickBot="1">
      <c r="B21" s="444"/>
      <c r="C21" s="226">
        <v>17000</v>
      </c>
      <c r="D21" s="227" t="s">
        <v>222</v>
      </c>
      <c r="E21" s="227"/>
      <c r="F21" s="263">
        <f>C21/C18</f>
        <v>1.0625</v>
      </c>
      <c r="G21" s="228" t="s">
        <v>14</v>
      </c>
      <c r="H21" s="59"/>
      <c r="I21" s="59"/>
      <c r="J21" s="251" t="s">
        <v>10</v>
      </c>
      <c r="K21" s="252">
        <f>X12</f>
        <v>-11400</v>
      </c>
      <c r="L21" s="112" t="s">
        <v>6</v>
      </c>
      <c r="M21" s="254"/>
      <c r="N21" s="60"/>
      <c r="O21" s="202" t="s">
        <v>48</v>
      </c>
      <c r="P21" s="114">
        <f>SUM(P18:P20)</f>
        <v>5400</v>
      </c>
      <c r="Q21" s="204" t="str">
        <f>Q20</f>
        <v>kr./år</v>
      </c>
      <c r="S21" s="104"/>
      <c r="U21" s="89"/>
      <c r="V21" s="353" t="s">
        <v>46</v>
      </c>
      <c r="W21" s="115"/>
      <c r="X21" s="270">
        <f aca="true" t="shared" si="60" ref="X21:AL21">SUM(X16:X20)</f>
        <v>-44800</v>
      </c>
      <c r="Y21" s="270">
        <f t="shared" si="60"/>
        <v>-43650</v>
      </c>
      <c r="Z21" s="270">
        <f t="shared" si="60"/>
        <v>-42499.5</v>
      </c>
      <c r="AA21" s="270">
        <f t="shared" si="60"/>
        <v>-41348.415</v>
      </c>
      <c r="AB21" s="270">
        <f t="shared" si="60"/>
        <v>-40196.65455</v>
      </c>
      <c r="AC21" s="270">
        <f t="shared" si="60"/>
        <v>-39044.1224535</v>
      </c>
      <c r="AD21" s="270">
        <f t="shared" si="60"/>
        <v>-37890.716455695</v>
      </c>
      <c r="AE21" s="270">
        <f t="shared" si="60"/>
        <v>-36736.327915590155</v>
      </c>
      <c r="AF21" s="270">
        <f t="shared" si="60"/>
        <v>-35580.84146122227</v>
      </c>
      <c r="AG21" s="270">
        <f t="shared" si="60"/>
        <v>-34424.13462713304</v>
      </c>
      <c r="AH21" s="270">
        <f t="shared" si="60"/>
        <v>-4066.0774731963447</v>
      </c>
      <c r="AI21" s="270">
        <f t="shared" si="60"/>
        <v>-4106.532183856949</v>
      </c>
      <c r="AJ21" s="270">
        <f t="shared" si="60"/>
        <v>-4145.352646790598</v>
      </c>
      <c r="AK21" s="270">
        <f t="shared" si="60"/>
        <v>-4182.384009945747</v>
      </c>
      <c r="AL21" s="270">
        <f t="shared" si="60"/>
        <v>-4217.462215874964</v>
      </c>
      <c r="AM21" s="93"/>
      <c r="AO21" s="70">
        <f>SUM(X21:AN21)</f>
        <v>-416888.520992805</v>
      </c>
      <c r="AP21" s="353" t="s">
        <v>46</v>
      </c>
      <c r="AQ21" s="115"/>
      <c r="AR21" s="270">
        <f aca="true" t="shared" si="61" ref="AR21:BF21">SUM(AR16:AR20)</f>
        <v>-45487.5</v>
      </c>
      <c r="AS21" s="270">
        <f t="shared" si="61"/>
        <v>-44295.9375</v>
      </c>
      <c r="AT21" s="270">
        <f t="shared" si="61"/>
        <v>-43147.734375</v>
      </c>
      <c r="AU21" s="270">
        <f t="shared" si="61"/>
        <v>-41999.06109375</v>
      </c>
      <c r="AV21" s="270">
        <f t="shared" si="61"/>
        <v>-40849.8329484375</v>
      </c>
      <c r="AW21" s="270">
        <f t="shared" si="61"/>
        <v>-39699.95977185937</v>
      </c>
      <c r="AX21" s="270">
        <f t="shared" si="61"/>
        <v>-38549.34563997234</v>
      </c>
      <c r="AY21" s="270">
        <f t="shared" si="61"/>
        <v>-37397.88855908136</v>
      </c>
      <c r="AZ21" s="270">
        <f t="shared" si="61"/>
        <v>-36245.480136888036</v>
      </c>
      <c r="BA21" s="270">
        <f t="shared" si="61"/>
        <v>-35092.0052365821</v>
      </c>
      <c r="BB21" s="270">
        <f t="shared" si="61"/>
        <v>-4537.341613117858</v>
      </c>
      <c r="BC21" s="270">
        <f t="shared" si="61"/>
        <v>-4581.359530774537</v>
      </c>
      <c r="BD21" s="270">
        <f t="shared" si="61"/>
        <v>-4623.9213610540655</v>
      </c>
      <c r="BE21" s="270">
        <f t="shared" si="61"/>
        <v>-4664.881159922387</v>
      </c>
      <c r="BF21" s="270">
        <f t="shared" si="61"/>
        <v>-4704.084223350437</v>
      </c>
      <c r="BG21" s="93"/>
      <c r="BH21" s="70">
        <f>SUM(AR21:BG21)</f>
        <v>-425876.33314978995</v>
      </c>
      <c r="BJ21" s="114" t="s">
        <v>46</v>
      </c>
      <c r="BK21" s="115"/>
      <c r="BL21" s="116">
        <f aca="true" t="shared" si="62" ref="BL21:BZ21">SUM(BL16:BL20)</f>
        <v>-44800</v>
      </c>
      <c r="BM21" s="116">
        <f t="shared" si="62"/>
        <v>-43670</v>
      </c>
      <c r="BN21" s="116">
        <f t="shared" si="62"/>
        <v>-42541.1</v>
      </c>
      <c r="BO21" s="116">
        <f t="shared" si="62"/>
        <v>-41413.312999999995</v>
      </c>
      <c r="BP21" s="116">
        <f t="shared" si="62"/>
        <v>-40286.65199</v>
      </c>
      <c r="BQ21" s="116">
        <f t="shared" si="62"/>
        <v>-39161.1299417</v>
      </c>
      <c r="BR21" s="116">
        <f t="shared" si="62"/>
        <v>-38036.759799791</v>
      </c>
      <c r="BS21" s="116">
        <f t="shared" si="62"/>
        <v>-36913.55447282153</v>
      </c>
      <c r="BT21" s="116">
        <f t="shared" si="62"/>
        <v>-35791.52682362371</v>
      </c>
      <c r="BU21" s="116">
        <f t="shared" si="62"/>
        <v>-34670.68965928231</v>
      </c>
      <c r="BV21" s="116">
        <f t="shared" si="62"/>
        <v>-4351.0557206296635</v>
      </c>
      <c r="BW21" s="116">
        <f t="shared" si="62"/>
        <v>-4432.637671248816</v>
      </c>
      <c r="BX21" s="116">
        <f t="shared" si="62"/>
        <v>-4515.448085966547</v>
      </c>
      <c r="BY21" s="116">
        <f t="shared" si="62"/>
        <v>-4599.499438817417</v>
      </c>
      <c r="BZ21" s="116">
        <f t="shared" si="62"/>
        <v>-4684.80409045925</v>
      </c>
      <c r="CA21" s="93"/>
      <c r="CC21" s="70">
        <f>SUM(BL21:CB21)</f>
        <v>-419868.1706943402</v>
      </c>
      <c r="CD21" s="114" t="s">
        <v>46</v>
      </c>
      <c r="CE21" s="115"/>
      <c r="CF21" s="116">
        <f aca="true" t="shared" si="63" ref="CF21:CT21">SUM(CF16:CF20)</f>
        <v>-41950</v>
      </c>
      <c r="CG21" s="116">
        <f t="shared" si="63"/>
        <v>-41100</v>
      </c>
      <c r="CH21" s="116">
        <f t="shared" si="63"/>
        <v>-40249.5</v>
      </c>
      <c r="CI21" s="116">
        <f t="shared" si="63"/>
        <v>-39398.415</v>
      </c>
      <c r="CJ21" s="116">
        <f t="shared" si="63"/>
        <v>-38546.65455</v>
      </c>
      <c r="CK21" s="116">
        <f t="shared" si="63"/>
        <v>-37694.1224535</v>
      </c>
      <c r="CL21" s="116">
        <f t="shared" si="63"/>
        <v>-36840.716455695</v>
      </c>
      <c r="CM21" s="116">
        <f t="shared" si="63"/>
        <v>-35986.327915590155</v>
      </c>
      <c r="CN21" s="116">
        <f t="shared" si="63"/>
        <v>-35130.84146122227</v>
      </c>
      <c r="CO21" s="116">
        <f t="shared" si="63"/>
        <v>-34274.13462713304</v>
      </c>
      <c r="CP21" s="116">
        <f t="shared" si="63"/>
        <v>-4066.0774731963447</v>
      </c>
      <c r="CQ21" s="116">
        <f t="shared" si="63"/>
        <v>-4106.532183856949</v>
      </c>
      <c r="CR21" s="116">
        <f t="shared" si="63"/>
        <v>-4145.352646790598</v>
      </c>
      <c r="CS21" s="116">
        <f t="shared" si="63"/>
        <v>-4182.384009945747</v>
      </c>
      <c r="CT21" s="116">
        <f t="shared" si="63"/>
        <v>-4217.462215874964</v>
      </c>
      <c r="CU21" s="93"/>
      <c r="CW21" s="70">
        <f>SUM(CF21:CV21)</f>
        <v>-401888.520992805</v>
      </c>
      <c r="CX21" s="114" t="s">
        <v>46</v>
      </c>
      <c r="CY21" s="115"/>
      <c r="CZ21" s="116">
        <f aca="true" t="shared" si="64" ref="CZ21:DN21">SUM(CZ16:CZ20)</f>
        <v>-42930</v>
      </c>
      <c r="DA21" s="116">
        <f t="shared" si="64"/>
        <v>-42180</v>
      </c>
      <c r="DB21" s="116">
        <f t="shared" si="64"/>
        <v>-41434.5</v>
      </c>
      <c r="DC21" s="116">
        <f t="shared" si="64"/>
        <v>-40693.665</v>
      </c>
      <c r="DD21" s="116">
        <f t="shared" si="64"/>
        <v>-39957.667050000004</v>
      </c>
      <c r="DE21" s="116">
        <f t="shared" si="64"/>
        <v>-39226.6855785</v>
      </c>
      <c r="DF21" s="116">
        <f t="shared" si="64"/>
        <v>-38500.907736945</v>
      </c>
      <c r="DG21" s="116">
        <f t="shared" si="64"/>
        <v>-37780.52876090265</v>
      </c>
      <c r="DH21" s="116">
        <f t="shared" si="64"/>
        <v>-37065.75234880039</v>
      </c>
      <c r="DI21" s="116">
        <f t="shared" si="64"/>
        <v>-36356.79105909007</v>
      </c>
      <c r="DJ21" s="116">
        <f t="shared" si="64"/>
        <v>-6643.866726751226</v>
      </c>
      <c r="DK21" s="116">
        <f t="shared" si="64"/>
        <v>-6847.210900089574</v>
      </c>
      <c r="DL21" s="116">
        <f t="shared" si="64"/>
        <v>-7057.065298834856</v>
      </c>
      <c r="DM21" s="116">
        <f t="shared" si="64"/>
        <v>-7273.682294592218</v>
      </c>
      <c r="DN21" s="116">
        <f t="shared" si="64"/>
        <v>-7497.325414753759</v>
      </c>
      <c r="DO21" s="93"/>
    </row>
    <row r="22" spans="2:119" ht="26.25" customHeight="1" thickBot="1">
      <c r="B22" s="395" t="s">
        <v>141</v>
      </c>
      <c r="C22" s="262"/>
      <c r="D22" s="262"/>
      <c r="E22" s="109"/>
      <c r="F22" s="110"/>
      <c r="G22" s="111"/>
      <c r="H22" s="59"/>
      <c r="I22" s="59"/>
      <c r="J22" s="202" t="s">
        <v>11</v>
      </c>
      <c r="K22" s="114">
        <f>SUM(K19:K21)</f>
        <v>-80800</v>
      </c>
      <c r="L22" s="203" t="s">
        <v>6</v>
      </c>
      <c r="M22" s="204"/>
      <c r="N22" s="60"/>
      <c r="P22" s="53"/>
      <c r="S22" s="121"/>
      <c r="U22" s="89"/>
      <c r="V22" s="352" t="s">
        <v>52</v>
      </c>
      <c r="W22" s="95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93"/>
      <c r="AP22" s="352" t="s">
        <v>52</v>
      </c>
      <c r="AQ22" s="95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93"/>
      <c r="BJ22" s="57" t="s">
        <v>52</v>
      </c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3"/>
      <c r="CD22" s="57" t="s">
        <v>52</v>
      </c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3"/>
      <c r="CX22" s="57" t="s">
        <v>52</v>
      </c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3"/>
    </row>
    <row r="23" spans="2:119" ht="24" customHeight="1" thickBot="1">
      <c r="B23" s="383" t="s">
        <v>143</v>
      </c>
      <c r="C23" s="209">
        <v>2</v>
      </c>
      <c r="D23" s="109" t="s">
        <v>1</v>
      </c>
      <c r="E23" s="109"/>
      <c r="F23" s="109"/>
      <c r="G23" s="111"/>
      <c r="H23" s="59"/>
      <c r="I23" s="59"/>
      <c r="K23" s="53"/>
      <c r="L23" s="53"/>
      <c r="N23" s="60"/>
      <c r="P23" s="53"/>
      <c r="S23" s="122"/>
      <c r="U23" s="89"/>
      <c r="V23" s="354" t="s">
        <v>246</v>
      </c>
      <c r="W23" s="119"/>
      <c r="X23" s="266">
        <f>Mellemregninger!D5</f>
        <v>225000</v>
      </c>
      <c r="Y23" s="266">
        <f>Mellemregninger!E5</f>
        <v>168750</v>
      </c>
      <c r="Z23" s="266">
        <f>Mellemregninger!F5</f>
        <v>126562.5</v>
      </c>
      <c r="AA23" s="266">
        <f>Mellemregninger!G5</f>
        <v>94921.875</v>
      </c>
      <c r="AB23" s="266">
        <f>Mellemregninger!H5</f>
        <v>71191.40625</v>
      </c>
      <c r="AC23" s="266">
        <f>Mellemregninger!I5</f>
        <v>53393.5546875</v>
      </c>
      <c r="AD23" s="266">
        <f>Mellemregninger!J5</f>
        <v>40045.166015625</v>
      </c>
      <c r="AE23" s="266">
        <f>Mellemregninger!K5</f>
        <v>30033.87451171875</v>
      </c>
      <c r="AF23" s="266">
        <f>Mellemregninger!L5</f>
        <v>22525.405883789062</v>
      </c>
      <c r="AG23" s="266">
        <f>Mellemregninger!M5</f>
        <v>16894.054412841797</v>
      </c>
      <c r="AH23" s="266">
        <f>Mellemregninger!N5</f>
        <v>12670.540809631348</v>
      </c>
      <c r="AI23" s="266">
        <f>Mellemregninger!O5</f>
        <v>9502.90560722351</v>
      </c>
      <c r="AJ23" s="266">
        <f>Mellemregninger!P5</f>
        <v>7127.179205417633</v>
      </c>
      <c r="AK23" s="266">
        <f>Mellemregninger!Q5</f>
        <v>5345.384404063225</v>
      </c>
      <c r="AL23" s="266">
        <f>Mellemregninger!R5</f>
        <v>4009.0383030474186</v>
      </c>
      <c r="AM23" s="93"/>
      <c r="AP23" s="354" t="s">
        <v>61</v>
      </c>
      <c r="AQ23" s="119"/>
      <c r="AR23" s="266">
        <f>X23</f>
        <v>225000</v>
      </c>
      <c r="AS23" s="266">
        <f aca="true" t="shared" si="65" ref="AS23:BF23">Y23</f>
        <v>168750</v>
      </c>
      <c r="AT23" s="266">
        <f t="shared" si="65"/>
        <v>126562.5</v>
      </c>
      <c r="AU23" s="266">
        <f t="shared" si="65"/>
        <v>94921.875</v>
      </c>
      <c r="AV23" s="266">
        <f t="shared" si="65"/>
        <v>71191.40625</v>
      </c>
      <c r="AW23" s="266">
        <f t="shared" si="65"/>
        <v>53393.5546875</v>
      </c>
      <c r="AX23" s="266">
        <f t="shared" si="65"/>
        <v>40045.166015625</v>
      </c>
      <c r="AY23" s="266">
        <f t="shared" si="65"/>
        <v>30033.87451171875</v>
      </c>
      <c r="AZ23" s="266">
        <f t="shared" si="65"/>
        <v>22525.405883789062</v>
      </c>
      <c r="BA23" s="266">
        <f t="shared" si="65"/>
        <v>16894.054412841797</v>
      </c>
      <c r="BB23" s="266">
        <f t="shared" si="65"/>
        <v>12670.540809631348</v>
      </c>
      <c r="BC23" s="266">
        <f t="shared" si="65"/>
        <v>9502.90560722351</v>
      </c>
      <c r="BD23" s="266">
        <f t="shared" si="65"/>
        <v>7127.179205417633</v>
      </c>
      <c r="BE23" s="266">
        <f t="shared" si="65"/>
        <v>5345.384404063225</v>
      </c>
      <c r="BF23" s="266">
        <f t="shared" si="65"/>
        <v>4009.0383030474186</v>
      </c>
      <c r="BG23" s="93"/>
      <c r="BJ23" s="118" t="s">
        <v>61</v>
      </c>
      <c r="BK23" s="119"/>
      <c r="BL23" s="119">
        <f>X23</f>
        <v>225000</v>
      </c>
      <c r="BM23" s="119">
        <f aca="true" t="shared" si="66" ref="BM23:BZ23">Y23</f>
        <v>168750</v>
      </c>
      <c r="BN23" s="119">
        <f t="shared" si="66"/>
        <v>126562.5</v>
      </c>
      <c r="BO23" s="119">
        <f t="shared" si="66"/>
        <v>94921.875</v>
      </c>
      <c r="BP23" s="119">
        <f t="shared" si="66"/>
        <v>71191.40625</v>
      </c>
      <c r="BQ23" s="119">
        <f t="shared" si="66"/>
        <v>53393.5546875</v>
      </c>
      <c r="BR23" s="119">
        <f t="shared" si="66"/>
        <v>40045.166015625</v>
      </c>
      <c r="BS23" s="119">
        <f t="shared" si="66"/>
        <v>30033.87451171875</v>
      </c>
      <c r="BT23" s="119">
        <f t="shared" si="66"/>
        <v>22525.405883789062</v>
      </c>
      <c r="BU23" s="119">
        <f t="shared" si="66"/>
        <v>16894.054412841797</v>
      </c>
      <c r="BV23" s="119">
        <f t="shared" si="66"/>
        <v>12670.540809631348</v>
      </c>
      <c r="BW23" s="119">
        <f t="shared" si="66"/>
        <v>9502.90560722351</v>
      </c>
      <c r="BX23" s="119">
        <f t="shared" si="66"/>
        <v>7127.179205417633</v>
      </c>
      <c r="BY23" s="119">
        <f t="shared" si="66"/>
        <v>5345.384404063225</v>
      </c>
      <c r="BZ23" s="119">
        <f t="shared" si="66"/>
        <v>4009.0383030474186</v>
      </c>
      <c r="CA23" s="93"/>
      <c r="CD23" s="118" t="s">
        <v>61</v>
      </c>
      <c r="CE23" s="119"/>
      <c r="CF23" s="119">
        <f>BL23</f>
        <v>225000</v>
      </c>
      <c r="CG23" s="119">
        <f aca="true" t="shared" si="67" ref="CG23:CR23">BM23</f>
        <v>168750</v>
      </c>
      <c r="CH23" s="119">
        <f t="shared" si="67"/>
        <v>126562.5</v>
      </c>
      <c r="CI23" s="119">
        <f t="shared" si="67"/>
        <v>94921.875</v>
      </c>
      <c r="CJ23" s="119">
        <f t="shared" si="67"/>
        <v>71191.40625</v>
      </c>
      <c r="CK23" s="119">
        <f t="shared" si="67"/>
        <v>53393.5546875</v>
      </c>
      <c r="CL23" s="119">
        <f t="shared" si="67"/>
        <v>40045.166015625</v>
      </c>
      <c r="CM23" s="119">
        <f t="shared" si="67"/>
        <v>30033.87451171875</v>
      </c>
      <c r="CN23" s="119">
        <f t="shared" si="67"/>
        <v>22525.405883789062</v>
      </c>
      <c r="CO23" s="119">
        <f t="shared" si="67"/>
        <v>16894.054412841797</v>
      </c>
      <c r="CP23" s="119">
        <f t="shared" si="67"/>
        <v>12670.540809631348</v>
      </c>
      <c r="CQ23" s="119">
        <f t="shared" si="67"/>
        <v>9502.90560722351</v>
      </c>
      <c r="CR23" s="119">
        <f t="shared" si="67"/>
        <v>7127.179205417633</v>
      </c>
      <c r="CS23" s="119">
        <f>BY23</f>
        <v>5345.384404063225</v>
      </c>
      <c r="CT23" s="119">
        <f>BZ23</f>
        <v>4009.0383030474186</v>
      </c>
      <c r="CU23" s="93"/>
      <c r="CX23" s="118" t="s">
        <v>61</v>
      </c>
      <c r="CY23" s="119"/>
      <c r="CZ23" s="119">
        <f>CF23</f>
        <v>225000</v>
      </c>
      <c r="DA23" s="119">
        <f aca="true" t="shared" si="68" ref="DA23:DN23">CG23</f>
        <v>168750</v>
      </c>
      <c r="DB23" s="119">
        <f t="shared" si="68"/>
        <v>126562.5</v>
      </c>
      <c r="DC23" s="119">
        <f t="shared" si="68"/>
        <v>94921.875</v>
      </c>
      <c r="DD23" s="119">
        <f t="shared" si="68"/>
        <v>71191.40625</v>
      </c>
      <c r="DE23" s="119">
        <f t="shared" si="68"/>
        <v>53393.5546875</v>
      </c>
      <c r="DF23" s="119">
        <f t="shared" si="68"/>
        <v>40045.166015625</v>
      </c>
      <c r="DG23" s="119">
        <f t="shared" si="68"/>
        <v>30033.87451171875</v>
      </c>
      <c r="DH23" s="119">
        <f t="shared" si="68"/>
        <v>22525.405883789062</v>
      </c>
      <c r="DI23" s="119">
        <f t="shared" si="68"/>
        <v>16894.054412841797</v>
      </c>
      <c r="DJ23" s="119">
        <f t="shared" si="68"/>
        <v>12670.540809631348</v>
      </c>
      <c r="DK23" s="119">
        <f t="shared" si="68"/>
        <v>9502.90560722351</v>
      </c>
      <c r="DL23" s="119">
        <f t="shared" si="68"/>
        <v>7127.179205417633</v>
      </c>
      <c r="DM23" s="119">
        <f t="shared" si="68"/>
        <v>5345.384404063225</v>
      </c>
      <c r="DN23" s="119">
        <f t="shared" si="68"/>
        <v>4009.0383030474186</v>
      </c>
      <c r="DO23" s="93"/>
    </row>
    <row r="24" spans="2:119" ht="22.5" customHeight="1" thickBot="1">
      <c r="B24" s="383" t="s">
        <v>142</v>
      </c>
      <c r="C24" s="209">
        <v>1</v>
      </c>
      <c r="D24" s="109" t="str">
        <f>D23</f>
        <v>kr./kWh</v>
      </c>
      <c r="E24" s="109"/>
      <c r="F24" s="109"/>
      <c r="G24" s="111"/>
      <c r="K24" s="53"/>
      <c r="L24" s="53"/>
      <c r="N24" s="60"/>
      <c r="O24" s="412" t="s">
        <v>77</v>
      </c>
      <c r="P24" s="414">
        <f>AL44</f>
        <v>304314.5611718006</v>
      </c>
      <c r="Q24" s="415"/>
      <c r="S24" s="122"/>
      <c r="U24" s="89"/>
      <c r="V24" s="355" t="s">
        <v>53</v>
      </c>
      <c r="W24" s="102"/>
      <c r="X24" s="63">
        <f>SUM(X23:X23)</f>
        <v>225000</v>
      </c>
      <c r="Y24" s="63">
        <f aca="true" t="shared" si="69" ref="Y24:AL24">SUM(Y23:Y23)</f>
        <v>168750</v>
      </c>
      <c r="Z24" s="63">
        <f t="shared" si="69"/>
        <v>126562.5</v>
      </c>
      <c r="AA24" s="63">
        <f t="shared" si="69"/>
        <v>94921.875</v>
      </c>
      <c r="AB24" s="63">
        <f t="shared" si="69"/>
        <v>71191.40625</v>
      </c>
      <c r="AC24" s="63">
        <f t="shared" si="69"/>
        <v>53393.5546875</v>
      </c>
      <c r="AD24" s="63">
        <f t="shared" si="69"/>
        <v>40045.166015625</v>
      </c>
      <c r="AE24" s="63">
        <f t="shared" si="69"/>
        <v>30033.87451171875</v>
      </c>
      <c r="AF24" s="63">
        <f t="shared" si="69"/>
        <v>22525.405883789062</v>
      </c>
      <c r="AG24" s="63">
        <f t="shared" si="69"/>
        <v>16894.054412841797</v>
      </c>
      <c r="AH24" s="63">
        <f t="shared" si="69"/>
        <v>12670.540809631348</v>
      </c>
      <c r="AI24" s="63">
        <f t="shared" si="69"/>
        <v>9502.90560722351</v>
      </c>
      <c r="AJ24" s="63">
        <f t="shared" si="69"/>
        <v>7127.179205417633</v>
      </c>
      <c r="AK24" s="63">
        <f t="shared" si="69"/>
        <v>5345.384404063225</v>
      </c>
      <c r="AL24" s="63">
        <f t="shared" si="69"/>
        <v>4009.0383030474186</v>
      </c>
      <c r="AM24" s="93"/>
      <c r="AP24" s="355" t="s">
        <v>53</v>
      </c>
      <c r="AQ24" s="102"/>
      <c r="AR24" s="63">
        <f>SUM(AR23:AR23)</f>
        <v>225000</v>
      </c>
      <c r="AS24" s="63">
        <f aca="true" t="shared" si="70" ref="AS24:BF24">SUM(AS23:AS23)</f>
        <v>168750</v>
      </c>
      <c r="AT24" s="63">
        <f t="shared" si="70"/>
        <v>126562.5</v>
      </c>
      <c r="AU24" s="63">
        <f t="shared" si="70"/>
        <v>94921.875</v>
      </c>
      <c r="AV24" s="63">
        <f t="shared" si="70"/>
        <v>71191.40625</v>
      </c>
      <c r="AW24" s="63">
        <f t="shared" si="70"/>
        <v>53393.5546875</v>
      </c>
      <c r="AX24" s="63">
        <f t="shared" si="70"/>
        <v>40045.166015625</v>
      </c>
      <c r="AY24" s="63">
        <f t="shared" si="70"/>
        <v>30033.87451171875</v>
      </c>
      <c r="AZ24" s="63">
        <f t="shared" si="70"/>
        <v>22525.405883789062</v>
      </c>
      <c r="BA24" s="63">
        <f t="shared" si="70"/>
        <v>16894.054412841797</v>
      </c>
      <c r="BB24" s="63">
        <f t="shared" si="70"/>
        <v>12670.540809631348</v>
      </c>
      <c r="BC24" s="63">
        <f t="shared" si="70"/>
        <v>9502.90560722351</v>
      </c>
      <c r="BD24" s="63">
        <f t="shared" si="70"/>
        <v>7127.179205417633</v>
      </c>
      <c r="BE24" s="63">
        <f t="shared" si="70"/>
        <v>5345.384404063225</v>
      </c>
      <c r="BF24" s="63">
        <f t="shared" si="70"/>
        <v>4009.0383030474186</v>
      </c>
      <c r="BG24" s="93"/>
      <c r="BJ24" s="120" t="s">
        <v>53</v>
      </c>
      <c r="BK24" s="102"/>
      <c r="BL24" s="102">
        <f>SUM(BL23:BL23)</f>
        <v>225000</v>
      </c>
      <c r="BM24" s="102">
        <f aca="true" t="shared" si="71" ref="BM24:BZ24">SUM(BM23:BM23)</f>
        <v>168750</v>
      </c>
      <c r="BN24" s="102">
        <f t="shared" si="71"/>
        <v>126562.5</v>
      </c>
      <c r="BO24" s="102">
        <f t="shared" si="71"/>
        <v>94921.875</v>
      </c>
      <c r="BP24" s="102">
        <f t="shared" si="71"/>
        <v>71191.40625</v>
      </c>
      <c r="BQ24" s="102">
        <f t="shared" si="71"/>
        <v>53393.5546875</v>
      </c>
      <c r="BR24" s="102">
        <f t="shared" si="71"/>
        <v>40045.166015625</v>
      </c>
      <c r="BS24" s="102">
        <f t="shared" si="71"/>
        <v>30033.87451171875</v>
      </c>
      <c r="BT24" s="102">
        <f t="shared" si="71"/>
        <v>22525.405883789062</v>
      </c>
      <c r="BU24" s="102">
        <f t="shared" si="71"/>
        <v>16894.054412841797</v>
      </c>
      <c r="BV24" s="102">
        <f t="shared" si="71"/>
        <v>12670.540809631348</v>
      </c>
      <c r="BW24" s="102">
        <f t="shared" si="71"/>
        <v>9502.90560722351</v>
      </c>
      <c r="BX24" s="102">
        <f t="shared" si="71"/>
        <v>7127.179205417633</v>
      </c>
      <c r="BY24" s="102">
        <f t="shared" si="71"/>
        <v>5345.384404063225</v>
      </c>
      <c r="BZ24" s="102">
        <f t="shared" si="71"/>
        <v>4009.0383030474186</v>
      </c>
      <c r="CA24" s="93"/>
      <c r="CD24" s="120" t="s">
        <v>53</v>
      </c>
      <c r="CE24" s="102"/>
      <c r="CF24" s="102">
        <f>SUM(CF23:CF23)</f>
        <v>225000</v>
      </c>
      <c r="CG24" s="102">
        <f aca="true" t="shared" si="72" ref="CG24:CT24">SUM(CG23:CG23)</f>
        <v>168750</v>
      </c>
      <c r="CH24" s="102">
        <f t="shared" si="72"/>
        <v>126562.5</v>
      </c>
      <c r="CI24" s="102">
        <f t="shared" si="72"/>
        <v>94921.875</v>
      </c>
      <c r="CJ24" s="102">
        <f t="shared" si="72"/>
        <v>71191.40625</v>
      </c>
      <c r="CK24" s="102">
        <f t="shared" si="72"/>
        <v>53393.5546875</v>
      </c>
      <c r="CL24" s="102">
        <f t="shared" si="72"/>
        <v>40045.166015625</v>
      </c>
      <c r="CM24" s="102">
        <f t="shared" si="72"/>
        <v>30033.87451171875</v>
      </c>
      <c r="CN24" s="102">
        <f t="shared" si="72"/>
        <v>22525.405883789062</v>
      </c>
      <c r="CO24" s="102">
        <f t="shared" si="72"/>
        <v>16894.054412841797</v>
      </c>
      <c r="CP24" s="102">
        <f t="shared" si="72"/>
        <v>12670.540809631348</v>
      </c>
      <c r="CQ24" s="102">
        <f t="shared" si="72"/>
        <v>9502.90560722351</v>
      </c>
      <c r="CR24" s="102">
        <f t="shared" si="72"/>
        <v>7127.179205417633</v>
      </c>
      <c r="CS24" s="102">
        <f t="shared" si="72"/>
        <v>5345.384404063225</v>
      </c>
      <c r="CT24" s="102">
        <f t="shared" si="72"/>
        <v>4009.0383030474186</v>
      </c>
      <c r="CU24" s="93"/>
      <c r="CX24" s="120" t="s">
        <v>53</v>
      </c>
      <c r="CY24" s="102"/>
      <c r="CZ24" s="102">
        <f>SUM(CZ23:CZ23)</f>
        <v>225000</v>
      </c>
      <c r="DA24" s="102">
        <f aca="true" t="shared" si="73" ref="DA24:DN24">SUM(DA23:DA23)</f>
        <v>168750</v>
      </c>
      <c r="DB24" s="102">
        <f t="shared" si="73"/>
        <v>126562.5</v>
      </c>
      <c r="DC24" s="102">
        <f t="shared" si="73"/>
        <v>94921.875</v>
      </c>
      <c r="DD24" s="102">
        <f t="shared" si="73"/>
        <v>71191.40625</v>
      </c>
      <c r="DE24" s="102">
        <f t="shared" si="73"/>
        <v>53393.5546875</v>
      </c>
      <c r="DF24" s="102">
        <f t="shared" si="73"/>
        <v>40045.166015625</v>
      </c>
      <c r="DG24" s="102">
        <f t="shared" si="73"/>
        <v>30033.87451171875</v>
      </c>
      <c r="DH24" s="102">
        <f t="shared" si="73"/>
        <v>22525.405883789062</v>
      </c>
      <c r="DI24" s="102">
        <f t="shared" si="73"/>
        <v>16894.054412841797</v>
      </c>
      <c r="DJ24" s="102">
        <f t="shared" si="73"/>
        <v>12670.540809631348</v>
      </c>
      <c r="DK24" s="102">
        <f t="shared" si="73"/>
        <v>9502.90560722351</v>
      </c>
      <c r="DL24" s="102">
        <f t="shared" si="73"/>
        <v>7127.179205417633</v>
      </c>
      <c r="DM24" s="102">
        <f t="shared" si="73"/>
        <v>5345.384404063225</v>
      </c>
      <c r="DN24" s="102">
        <f t="shared" si="73"/>
        <v>4009.0383030474186</v>
      </c>
      <c r="DO24" s="93"/>
    </row>
    <row r="25" spans="2:119" ht="23.25" customHeight="1" thickBot="1" thickTop="1">
      <c r="B25" s="383" t="s">
        <v>138</v>
      </c>
      <c r="C25" s="329">
        <v>0.6</v>
      </c>
      <c r="D25" s="109" t="s">
        <v>1</v>
      </c>
      <c r="E25" s="109" t="s">
        <v>249</v>
      </c>
      <c r="F25" s="109"/>
      <c r="G25" s="111"/>
      <c r="J25" s="412" t="s">
        <v>71</v>
      </c>
      <c r="K25" s="431">
        <f>AO13</f>
        <v>-295879.4826897576</v>
      </c>
      <c r="L25" s="431"/>
      <c r="M25" s="432"/>
      <c r="N25" s="60"/>
      <c r="O25" s="413"/>
      <c r="P25" s="416"/>
      <c r="Q25" s="417"/>
      <c r="S25" s="122"/>
      <c r="U25" s="89"/>
      <c r="V25" s="352" t="s">
        <v>58</v>
      </c>
      <c r="W25" s="95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93"/>
      <c r="AP25" s="352" t="s">
        <v>58</v>
      </c>
      <c r="AQ25" s="95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93"/>
      <c r="BJ25" s="57" t="s">
        <v>58</v>
      </c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3"/>
      <c r="CD25" s="57" t="s">
        <v>58</v>
      </c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3"/>
      <c r="CX25" s="57" t="s">
        <v>58</v>
      </c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3"/>
    </row>
    <row r="26" spans="2:119" ht="16.5" thickBot="1">
      <c r="B26" s="172"/>
      <c r="C26" s="329">
        <v>0.4</v>
      </c>
      <c r="D26" s="109" t="s">
        <v>1</v>
      </c>
      <c r="E26" s="109" t="s">
        <v>250</v>
      </c>
      <c r="F26" s="109"/>
      <c r="G26" s="111"/>
      <c r="J26" s="413"/>
      <c r="K26" s="433"/>
      <c r="L26" s="433"/>
      <c r="M26" s="434"/>
      <c r="O26" s="61"/>
      <c r="P26" s="61"/>
      <c r="Q26" s="61"/>
      <c r="S26" s="126"/>
      <c r="U26" s="89"/>
      <c r="V26" s="354" t="s">
        <v>49</v>
      </c>
      <c r="W26" s="119"/>
      <c r="X26" s="266">
        <f>Mellemregninger!D25</f>
        <v>270000</v>
      </c>
      <c r="Y26" s="266">
        <f>Mellemregninger!E25</f>
        <v>240000</v>
      </c>
      <c r="Z26" s="266">
        <f>Mellemregninger!F25</f>
        <v>210000</v>
      </c>
      <c r="AA26" s="266">
        <f>Mellemregninger!G25</f>
        <v>180000</v>
      </c>
      <c r="AB26" s="266">
        <f>Mellemregninger!H25</f>
        <v>150000</v>
      </c>
      <c r="AC26" s="266">
        <f>Mellemregninger!I25</f>
        <v>120000</v>
      </c>
      <c r="AD26" s="266">
        <f>Mellemregninger!J25</f>
        <v>90000</v>
      </c>
      <c r="AE26" s="266">
        <f>Mellemregninger!K25</f>
        <v>60000</v>
      </c>
      <c r="AF26" s="266">
        <f>Mellemregninger!L25</f>
        <v>30000</v>
      </c>
      <c r="AG26" s="266">
        <f>Mellemregninger!M25</f>
        <v>0</v>
      </c>
      <c r="AH26" s="266">
        <f>Mellemregninger!N25</f>
        <v>0</v>
      </c>
      <c r="AI26" s="266">
        <f>Mellemregninger!O25</f>
        <v>0</v>
      </c>
      <c r="AJ26" s="266">
        <f>Mellemregninger!P25</f>
        <v>0</v>
      </c>
      <c r="AK26" s="266">
        <f>Mellemregninger!Q25</f>
        <v>0</v>
      </c>
      <c r="AL26" s="266">
        <f>Mellemregninger!R25</f>
        <v>0</v>
      </c>
      <c r="AM26" s="93"/>
      <c r="AP26" s="354" t="s">
        <v>49</v>
      </c>
      <c r="AQ26" s="119"/>
      <c r="AR26" s="266">
        <f>X26</f>
        <v>270000</v>
      </c>
      <c r="AS26" s="266">
        <f aca="true" t="shared" si="74" ref="AS26:BF26">Y26</f>
        <v>240000</v>
      </c>
      <c r="AT26" s="266">
        <f t="shared" si="74"/>
        <v>210000</v>
      </c>
      <c r="AU26" s="266">
        <f t="shared" si="74"/>
        <v>180000</v>
      </c>
      <c r="AV26" s="266">
        <f t="shared" si="74"/>
        <v>150000</v>
      </c>
      <c r="AW26" s="266">
        <f t="shared" si="74"/>
        <v>120000</v>
      </c>
      <c r="AX26" s="266">
        <f t="shared" si="74"/>
        <v>90000</v>
      </c>
      <c r="AY26" s="266">
        <f t="shared" si="74"/>
        <v>60000</v>
      </c>
      <c r="AZ26" s="266">
        <f t="shared" si="74"/>
        <v>30000</v>
      </c>
      <c r="BA26" s="266">
        <f t="shared" si="74"/>
        <v>0</v>
      </c>
      <c r="BB26" s="266">
        <f t="shared" si="74"/>
        <v>0</v>
      </c>
      <c r="BC26" s="266">
        <f t="shared" si="74"/>
        <v>0</v>
      </c>
      <c r="BD26" s="266">
        <f t="shared" si="74"/>
        <v>0</v>
      </c>
      <c r="BE26" s="266">
        <f t="shared" si="74"/>
        <v>0</v>
      </c>
      <c r="BF26" s="266">
        <f t="shared" si="74"/>
        <v>0</v>
      </c>
      <c r="BG26" s="93"/>
      <c r="BJ26" s="118" t="s">
        <v>49</v>
      </c>
      <c r="BK26" s="119"/>
      <c r="BL26" s="119">
        <f>X26</f>
        <v>270000</v>
      </c>
      <c r="BM26" s="119">
        <f aca="true" t="shared" si="75" ref="BM26:BZ26">Y26</f>
        <v>240000</v>
      </c>
      <c r="BN26" s="119">
        <f t="shared" si="75"/>
        <v>210000</v>
      </c>
      <c r="BO26" s="119">
        <f t="shared" si="75"/>
        <v>180000</v>
      </c>
      <c r="BP26" s="119">
        <f t="shared" si="75"/>
        <v>150000</v>
      </c>
      <c r="BQ26" s="119">
        <f t="shared" si="75"/>
        <v>120000</v>
      </c>
      <c r="BR26" s="119">
        <f t="shared" si="75"/>
        <v>90000</v>
      </c>
      <c r="BS26" s="119">
        <f t="shared" si="75"/>
        <v>60000</v>
      </c>
      <c r="BT26" s="119">
        <f t="shared" si="75"/>
        <v>30000</v>
      </c>
      <c r="BU26" s="119">
        <f t="shared" si="75"/>
        <v>0</v>
      </c>
      <c r="BV26" s="119">
        <f t="shared" si="75"/>
        <v>0</v>
      </c>
      <c r="BW26" s="119">
        <f t="shared" si="75"/>
        <v>0</v>
      </c>
      <c r="BX26" s="119">
        <f t="shared" si="75"/>
        <v>0</v>
      </c>
      <c r="BY26" s="119">
        <f t="shared" si="75"/>
        <v>0</v>
      </c>
      <c r="BZ26" s="119">
        <f t="shared" si="75"/>
        <v>0</v>
      </c>
      <c r="CA26" s="93"/>
      <c r="CD26" s="118" t="s">
        <v>49</v>
      </c>
      <c r="CE26" s="119"/>
      <c r="CF26" s="119">
        <f>BL26</f>
        <v>270000</v>
      </c>
      <c r="CG26" s="119">
        <f aca="true" t="shared" si="76" ref="CG26:CT26">BM26</f>
        <v>240000</v>
      </c>
      <c r="CH26" s="119">
        <f t="shared" si="76"/>
        <v>210000</v>
      </c>
      <c r="CI26" s="119">
        <f t="shared" si="76"/>
        <v>180000</v>
      </c>
      <c r="CJ26" s="119">
        <f t="shared" si="76"/>
        <v>150000</v>
      </c>
      <c r="CK26" s="119">
        <f t="shared" si="76"/>
        <v>120000</v>
      </c>
      <c r="CL26" s="119">
        <f t="shared" si="76"/>
        <v>90000</v>
      </c>
      <c r="CM26" s="119">
        <f t="shared" si="76"/>
        <v>60000</v>
      </c>
      <c r="CN26" s="119">
        <f t="shared" si="76"/>
        <v>30000</v>
      </c>
      <c r="CO26" s="119">
        <f t="shared" si="76"/>
        <v>0</v>
      </c>
      <c r="CP26" s="119">
        <f t="shared" si="76"/>
        <v>0</v>
      </c>
      <c r="CQ26" s="119">
        <f t="shared" si="76"/>
        <v>0</v>
      </c>
      <c r="CR26" s="119">
        <f t="shared" si="76"/>
        <v>0</v>
      </c>
      <c r="CS26" s="119">
        <f t="shared" si="76"/>
        <v>0</v>
      </c>
      <c r="CT26" s="119">
        <f t="shared" si="76"/>
        <v>0</v>
      </c>
      <c r="CU26" s="93"/>
      <c r="CX26" s="118" t="s">
        <v>49</v>
      </c>
      <c r="CY26" s="119"/>
      <c r="CZ26" s="119">
        <f>CF26</f>
        <v>270000</v>
      </c>
      <c r="DA26" s="119">
        <f aca="true" t="shared" si="77" ref="DA26:DN26">CG26</f>
        <v>240000</v>
      </c>
      <c r="DB26" s="119">
        <f t="shared" si="77"/>
        <v>210000</v>
      </c>
      <c r="DC26" s="119">
        <f t="shared" si="77"/>
        <v>180000</v>
      </c>
      <c r="DD26" s="119">
        <f t="shared" si="77"/>
        <v>150000</v>
      </c>
      <c r="DE26" s="119">
        <f t="shared" si="77"/>
        <v>120000</v>
      </c>
      <c r="DF26" s="119">
        <f t="shared" si="77"/>
        <v>90000</v>
      </c>
      <c r="DG26" s="119">
        <f t="shared" si="77"/>
        <v>60000</v>
      </c>
      <c r="DH26" s="119">
        <f t="shared" si="77"/>
        <v>30000</v>
      </c>
      <c r="DI26" s="119">
        <f t="shared" si="77"/>
        <v>0</v>
      </c>
      <c r="DJ26" s="119">
        <f t="shared" si="77"/>
        <v>0</v>
      </c>
      <c r="DK26" s="119">
        <f t="shared" si="77"/>
        <v>0</v>
      </c>
      <c r="DL26" s="119">
        <f t="shared" si="77"/>
        <v>0</v>
      </c>
      <c r="DM26" s="119">
        <f t="shared" si="77"/>
        <v>0</v>
      </c>
      <c r="DN26" s="119">
        <f t="shared" si="77"/>
        <v>0</v>
      </c>
      <c r="DO26" s="93"/>
    </row>
    <row r="27" spans="2:119" ht="23.25" customHeight="1" thickBot="1">
      <c r="B27" s="386" t="s">
        <v>117</v>
      </c>
      <c r="C27" s="171"/>
      <c r="D27" s="171"/>
      <c r="E27" s="171"/>
      <c r="F27" s="109"/>
      <c r="G27" s="111"/>
      <c r="J27" s="61"/>
      <c r="K27" s="61"/>
      <c r="L27" s="61"/>
      <c r="O27" s="412" t="s">
        <v>78</v>
      </c>
      <c r="P27" s="414">
        <f>AL44/15</f>
        <v>20287.637411453372</v>
      </c>
      <c r="Q27" s="415"/>
      <c r="S27" s="126"/>
      <c r="U27" s="89"/>
      <c r="V27" s="356" t="s">
        <v>59</v>
      </c>
      <c r="W27" s="114"/>
      <c r="X27" s="270">
        <f aca="true" t="shared" si="78" ref="X27:AL27">SUM(X26:X26)</f>
        <v>270000</v>
      </c>
      <c r="Y27" s="270">
        <f t="shared" si="78"/>
        <v>240000</v>
      </c>
      <c r="Z27" s="270">
        <f t="shared" si="78"/>
        <v>210000</v>
      </c>
      <c r="AA27" s="270">
        <f t="shared" si="78"/>
        <v>180000</v>
      </c>
      <c r="AB27" s="270">
        <f t="shared" si="78"/>
        <v>150000</v>
      </c>
      <c r="AC27" s="270">
        <f t="shared" si="78"/>
        <v>120000</v>
      </c>
      <c r="AD27" s="270">
        <f t="shared" si="78"/>
        <v>90000</v>
      </c>
      <c r="AE27" s="270">
        <f t="shared" si="78"/>
        <v>60000</v>
      </c>
      <c r="AF27" s="270">
        <f t="shared" si="78"/>
        <v>30000</v>
      </c>
      <c r="AG27" s="270">
        <f t="shared" si="78"/>
        <v>0</v>
      </c>
      <c r="AH27" s="270">
        <f t="shared" si="78"/>
        <v>0</v>
      </c>
      <c r="AI27" s="270">
        <f t="shared" si="78"/>
        <v>0</v>
      </c>
      <c r="AJ27" s="270">
        <f t="shared" si="78"/>
        <v>0</v>
      </c>
      <c r="AK27" s="270">
        <f t="shared" si="78"/>
        <v>0</v>
      </c>
      <c r="AL27" s="270">
        <f t="shared" si="78"/>
        <v>0</v>
      </c>
      <c r="AM27" s="93"/>
      <c r="AP27" s="356" t="s">
        <v>59</v>
      </c>
      <c r="AQ27" s="114"/>
      <c r="AR27" s="270">
        <f aca="true" t="shared" si="79" ref="AR27:BF27">SUM(AR26:AR26)</f>
        <v>270000</v>
      </c>
      <c r="AS27" s="270">
        <f t="shared" si="79"/>
        <v>240000</v>
      </c>
      <c r="AT27" s="270">
        <f t="shared" si="79"/>
        <v>210000</v>
      </c>
      <c r="AU27" s="270">
        <f t="shared" si="79"/>
        <v>180000</v>
      </c>
      <c r="AV27" s="270">
        <f t="shared" si="79"/>
        <v>150000</v>
      </c>
      <c r="AW27" s="270">
        <f t="shared" si="79"/>
        <v>120000</v>
      </c>
      <c r="AX27" s="270">
        <f t="shared" si="79"/>
        <v>90000</v>
      </c>
      <c r="AY27" s="270">
        <f t="shared" si="79"/>
        <v>60000</v>
      </c>
      <c r="AZ27" s="270">
        <f t="shared" si="79"/>
        <v>30000</v>
      </c>
      <c r="BA27" s="270">
        <f t="shared" si="79"/>
        <v>0</v>
      </c>
      <c r="BB27" s="270">
        <f t="shared" si="79"/>
        <v>0</v>
      </c>
      <c r="BC27" s="270">
        <f t="shared" si="79"/>
        <v>0</v>
      </c>
      <c r="BD27" s="270">
        <f t="shared" si="79"/>
        <v>0</v>
      </c>
      <c r="BE27" s="270">
        <f t="shared" si="79"/>
        <v>0</v>
      </c>
      <c r="BF27" s="270">
        <f t="shared" si="79"/>
        <v>0</v>
      </c>
      <c r="BG27" s="93"/>
      <c r="BJ27" s="124" t="s">
        <v>59</v>
      </c>
      <c r="BK27" s="114"/>
      <c r="BL27" s="114">
        <f aca="true" t="shared" si="80" ref="BL27:BZ27">SUM(BL26:BL26)</f>
        <v>270000</v>
      </c>
      <c r="BM27" s="114">
        <f t="shared" si="80"/>
        <v>240000</v>
      </c>
      <c r="BN27" s="114">
        <f t="shared" si="80"/>
        <v>210000</v>
      </c>
      <c r="BO27" s="114">
        <f t="shared" si="80"/>
        <v>180000</v>
      </c>
      <c r="BP27" s="114">
        <f t="shared" si="80"/>
        <v>150000</v>
      </c>
      <c r="BQ27" s="114">
        <f t="shared" si="80"/>
        <v>120000</v>
      </c>
      <c r="BR27" s="114">
        <f t="shared" si="80"/>
        <v>90000</v>
      </c>
      <c r="BS27" s="114">
        <f t="shared" si="80"/>
        <v>60000</v>
      </c>
      <c r="BT27" s="114">
        <f t="shared" si="80"/>
        <v>30000</v>
      </c>
      <c r="BU27" s="114">
        <f t="shared" si="80"/>
        <v>0</v>
      </c>
      <c r="BV27" s="114">
        <f t="shared" si="80"/>
        <v>0</v>
      </c>
      <c r="BW27" s="114">
        <f t="shared" si="80"/>
        <v>0</v>
      </c>
      <c r="BX27" s="114">
        <f t="shared" si="80"/>
        <v>0</v>
      </c>
      <c r="BY27" s="114">
        <f t="shared" si="80"/>
        <v>0</v>
      </c>
      <c r="BZ27" s="114">
        <f t="shared" si="80"/>
        <v>0</v>
      </c>
      <c r="CA27" s="93"/>
      <c r="CD27" s="124" t="s">
        <v>59</v>
      </c>
      <c r="CE27" s="114"/>
      <c r="CF27" s="114">
        <f aca="true" t="shared" si="81" ref="CF27:CT27">SUM(CF26:CF26)</f>
        <v>270000</v>
      </c>
      <c r="CG27" s="114">
        <f t="shared" si="81"/>
        <v>240000</v>
      </c>
      <c r="CH27" s="114">
        <f t="shared" si="81"/>
        <v>210000</v>
      </c>
      <c r="CI27" s="114">
        <f t="shared" si="81"/>
        <v>180000</v>
      </c>
      <c r="CJ27" s="114">
        <f t="shared" si="81"/>
        <v>150000</v>
      </c>
      <c r="CK27" s="114">
        <f t="shared" si="81"/>
        <v>120000</v>
      </c>
      <c r="CL27" s="114">
        <f t="shared" si="81"/>
        <v>90000</v>
      </c>
      <c r="CM27" s="114">
        <f t="shared" si="81"/>
        <v>60000</v>
      </c>
      <c r="CN27" s="114">
        <f t="shared" si="81"/>
        <v>30000</v>
      </c>
      <c r="CO27" s="114">
        <f t="shared" si="81"/>
        <v>0</v>
      </c>
      <c r="CP27" s="114">
        <f t="shared" si="81"/>
        <v>0</v>
      </c>
      <c r="CQ27" s="114">
        <f t="shared" si="81"/>
        <v>0</v>
      </c>
      <c r="CR27" s="114">
        <f t="shared" si="81"/>
        <v>0</v>
      </c>
      <c r="CS27" s="114">
        <f t="shared" si="81"/>
        <v>0</v>
      </c>
      <c r="CT27" s="114">
        <f t="shared" si="81"/>
        <v>0</v>
      </c>
      <c r="CU27" s="93"/>
      <c r="CX27" s="124" t="s">
        <v>59</v>
      </c>
      <c r="CY27" s="114"/>
      <c r="CZ27" s="114">
        <f aca="true" t="shared" si="82" ref="CZ27:DN27">SUM(CZ26:CZ26)</f>
        <v>270000</v>
      </c>
      <c r="DA27" s="114">
        <f t="shared" si="82"/>
        <v>240000</v>
      </c>
      <c r="DB27" s="114">
        <f t="shared" si="82"/>
        <v>210000</v>
      </c>
      <c r="DC27" s="114">
        <f t="shared" si="82"/>
        <v>180000</v>
      </c>
      <c r="DD27" s="114">
        <f t="shared" si="82"/>
        <v>150000</v>
      </c>
      <c r="DE27" s="114">
        <f t="shared" si="82"/>
        <v>120000</v>
      </c>
      <c r="DF27" s="114">
        <f t="shared" si="82"/>
        <v>90000</v>
      </c>
      <c r="DG27" s="114">
        <f t="shared" si="82"/>
        <v>60000</v>
      </c>
      <c r="DH27" s="114">
        <f t="shared" si="82"/>
        <v>30000</v>
      </c>
      <c r="DI27" s="114">
        <f t="shared" si="82"/>
        <v>0</v>
      </c>
      <c r="DJ27" s="114">
        <f t="shared" si="82"/>
        <v>0</v>
      </c>
      <c r="DK27" s="114">
        <f t="shared" si="82"/>
        <v>0</v>
      </c>
      <c r="DL27" s="114">
        <f t="shared" si="82"/>
        <v>0</v>
      </c>
      <c r="DM27" s="114">
        <f t="shared" si="82"/>
        <v>0</v>
      </c>
      <c r="DN27" s="114">
        <f t="shared" si="82"/>
        <v>0</v>
      </c>
      <c r="DO27" s="93"/>
    </row>
    <row r="28" spans="2:119" ht="21" customHeight="1" thickBot="1">
      <c r="B28" s="387" t="s">
        <v>2</v>
      </c>
      <c r="C28" s="108">
        <v>300000</v>
      </c>
      <c r="D28" s="106" t="s">
        <v>116</v>
      </c>
      <c r="E28" s="106"/>
      <c r="F28" s="106"/>
      <c r="G28" s="107"/>
      <c r="J28" s="412" t="s">
        <v>76</v>
      </c>
      <c r="K28" s="431">
        <f>K25/15</f>
        <v>-19725.29884598384</v>
      </c>
      <c r="L28" s="431"/>
      <c r="M28" s="432"/>
      <c r="O28" s="413"/>
      <c r="P28" s="416"/>
      <c r="Q28" s="417"/>
      <c r="S28" s="104"/>
      <c r="U28" s="89"/>
      <c r="V28" s="366" t="s">
        <v>93</v>
      </c>
      <c r="W28" s="95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93"/>
      <c r="AP28" s="346" t="s">
        <v>93</v>
      </c>
      <c r="AQ28" s="95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93"/>
      <c r="BJ28" s="58" t="s">
        <v>93</v>
      </c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3"/>
      <c r="CD28" s="58" t="s">
        <v>93</v>
      </c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3"/>
      <c r="CX28" s="58" t="s">
        <v>93</v>
      </c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3"/>
    </row>
    <row r="29" spans="2:119" ht="20.25" customHeight="1" thickBot="1">
      <c r="B29" s="388"/>
      <c r="C29" s="108">
        <v>0</v>
      </c>
      <c r="D29" s="106" t="s">
        <v>116</v>
      </c>
      <c r="E29" s="106"/>
      <c r="F29" s="106"/>
      <c r="G29" s="107"/>
      <c r="J29" s="413"/>
      <c r="K29" s="433"/>
      <c r="L29" s="433"/>
      <c r="M29" s="434"/>
      <c r="O29" s="128"/>
      <c r="P29" s="128"/>
      <c r="Q29" s="128"/>
      <c r="S29" s="126"/>
      <c r="U29" s="129"/>
      <c r="V29" s="346" t="s">
        <v>11</v>
      </c>
      <c r="W29" s="95"/>
      <c r="X29" s="56">
        <f>X13</f>
        <v>-80800</v>
      </c>
      <c r="Y29" s="56">
        <f aca="true" t="shared" si="83" ref="Y29:AL29">Y13</f>
        <v>-60900</v>
      </c>
      <c r="Z29" s="56">
        <f t="shared" si="83"/>
        <v>-45687</v>
      </c>
      <c r="AA29" s="56">
        <f t="shared" si="83"/>
        <v>-33989.04</v>
      </c>
      <c r="AB29" s="56">
        <f t="shared" si="83"/>
        <v>-24927.1233</v>
      </c>
      <c r="AC29" s="56">
        <f t="shared" si="83"/>
        <v>-17841.974016</v>
      </c>
      <c r="AD29" s="56">
        <f t="shared" si="83"/>
        <v>-12239.10512757</v>
      </c>
      <c r="AE29" s="56">
        <f t="shared" si="83"/>
        <v>-7747.619419496401</v>
      </c>
      <c r="AF29" s="56">
        <f t="shared" si="83"/>
        <v>-4089.3100891519534</v>
      </c>
      <c r="AG29" s="56">
        <f t="shared" si="83"/>
        <v>-4055.486098080304</v>
      </c>
      <c r="AH29" s="56">
        <f t="shared" si="83"/>
        <v>-2289.591076406794</v>
      </c>
      <c r="AI29" s="56">
        <f t="shared" si="83"/>
        <v>-1274.1673862647858</v>
      </c>
      <c r="AJ29" s="56">
        <f t="shared" si="83"/>
        <v>-521.0790485964753</v>
      </c>
      <c r="AK29" s="56">
        <f t="shared" si="83"/>
        <v>35.82118869984515</v>
      </c>
      <c r="AL29" s="56">
        <f t="shared" si="83"/>
        <v>446.1916831092294</v>
      </c>
      <c r="AM29" s="93"/>
      <c r="AP29" s="346" t="s">
        <v>11</v>
      </c>
      <c r="AQ29" s="95"/>
      <c r="AR29" s="56">
        <f>AR13</f>
        <v>-81837.5</v>
      </c>
      <c r="AS29" s="56">
        <f aca="true" t="shared" si="84" ref="AS29:BF29">AS13</f>
        <v>-61893.75</v>
      </c>
      <c r="AT29" s="56">
        <f t="shared" si="84"/>
        <v>-46680.75</v>
      </c>
      <c r="AU29" s="56">
        <f t="shared" si="84"/>
        <v>-34982.79</v>
      </c>
      <c r="AV29" s="56">
        <f t="shared" si="84"/>
        <v>-25920.8733</v>
      </c>
      <c r="AW29" s="56">
        <f t="shared" si="84"/>
        <v>-18835.724016</v>
      </c>
      <c r="AX29" s="56">
        <f t="shared" si="84"/>
        <v>-13232.85512757</v>
      </c>
      <c r="AY29" s="56">
        <f t="shared" si="84"/>
        <v>-8741.369419496401</v>
      </c>
      <c r="AZ29" s="56">
        <f t="shared" si="84"/>
        <v>-5083.060089151953</v>
      </c>
      <c r="BA29" s="56">
        <f t="shared" si="84"/>
        <v>-2049.236098080304</v>
      </c>
      <c r="BB29" s="56">
        <f t="shared" si="84"/>
        <v>-2952.091076406794</v>
      </c>
      <c r="BC29" s="56">
        <f t="shared" si="84"/>
        <v>-1936.6673862647858</v>
      </c>
      <c r="BD29" s="56">
        <f t="shared" si="84"/>
        <v>-1183.5790485964753</v>
      </c>
      <c r="BE29" s="56">
        <f t="shared" si="84"/>
        <v>-626.6788113001539</v>
      </c>
      <c r="BF29" s="56">
        <f t="shared" si="84"/>
        <v>-216.30831689076967</v>
      </c>
      <c r="BG29" s="93"/>
      <c r="BJ29" s="58" t="s">
        <v>11</v>
      </c>
      <c r="BK29" s="95"/>
      <c r="BL29" s="95">
        <f>BL13</f>
        <v>-80800</v>
      </c>
      <c r="BM29" s="95">
        <f aca="true" t="shared" si="85" ref="BM29:BZ29">BM13</f>
        <v>-60920</v>
      </c>
      <c r="BN29" s="95">
        <f t="shared" si="85"/>
        <v>-45728.6</v>
      </c>
      <c r="BO29" s="95">
        <f t="shared" si="85"/>
        <v>-34053.937999999995</v>
      </c>
      <c r="BP29" s="95">
        <f t="shared" si="85"/>
        <v>-25017.12074</v>
      </c>
      <c r="BQ29" s="95">
        <f t="shared" si="85"/>
        <v>-17958.9815042</v>
      </c>
      <c r="BR29" s="95">
        <f t="shared" si="85"/>
        <v>-12385.148471666</v>
      </c>
      <c r="BS29" s="95">
        <f t="shared" si="85"/>
        <v>-7924.84597672778</v>
      </c>
      <c r="BT29" s="95">
        <f t="shared" si="85"/>
        <v>-4299.995451553399</v>
      </c>
      <c r="BU29" s="95">
        <f t="shared" si="85"/>
        <v>-1302.041130229576</v>
      </c>
      <c r="BV29" s="95">
        <f t="shared" si="85"/>
        <v>-2574.5693238401127</v>
      </c>
      <c r="BW29" s="95">
        <f t="shared" si="85"/>
        <v>-1600.2728736566532</v>
      </c>
      <c r="BX29" s="95">
        <f t="shared" si="85"/>
        <v>-891.174487772425</v>
      </c>
      <c r="BY29" s="95">
        <f t="shared" si="85"/>
        <v>-381.29424017182555</v>
      </c>
      <c r="BZ29" s="95">
        <f t="shared" si="85"/>
        <v>-21.15019147505609</v>
      </c>
      <c r="CA29" s="93"/>
      <c r="CD29" s="58" t="s">
        <v>11</v>
      </c>
      <c r="CE29" s="95"/>
      <c r="CF29" s="95">
        <f>CF13</f>
        <v>-77950</v>
      </c>
      <c r="CG29" s="95">
        <f aca="true" t="shared" si="86" ref="CG29:CT29">CG13</f>
        <v>-58350</v>
      </c>
      <c r="CH29" s="95">
        <f t="shared" si="86"/>
        <v>-43437</v>
      </c>
      <c r="CI29" s="95">
        <f t="shared" si="86"/>
        <v>-32039.04</v>
      </c>
      <c r="CJ29" s="95">
        <f t="shared" si="86"/>
        <v>-23277.1233</v>
      </c>
      <c r="CK29" s="95">
        <f t="shared" si="86"/>
        <v>-16491.974016</v>
      </c>
      <c r="CL29" s="95">
        <f t="shared" si="86"/>
        <v>-11189.10512757</v>
      </c>
      <c r="CM29" s="95">
        <f t="shared" si="86"/>
        <v>-6997.619419496401</v>
      </c>
      <c r="CN29" s="95">
        <f t="shared" si="86"/>
        <v>-3639.3100891519534</v>
      </c>
      <c r="CO29" s="95">
        <f t="shared" si="86"/>
        <v>-905.4860980803041</v>
      </c>
      <c r="CP29" s="95">
        <f t="shared" si="86"/>
        <v>-2289.591076406794</v>
      </c>
      <c r="CQ29" s="95">
        <f t="shared" si="86"/>
        <v>-1274.1673862647858</v>
      </c>
      <c r="CR29" s="95">
        <f t="shared" si="86"/>
        <v>-521.0790485964753</v>
      </c>
      <c r="CS29" s="95">
        <f t="shared" si="86"/>
        <v>35.82118869984515</v>
      </c>
      <c r="CT29" s="95">
        <f t="shared" si="86"/>
        <v>446.1916831092294</v>
      </c>
      <c r="CU29" s="93"/>
      <c r="CX29" s="58" t="s">
        <v>11</v>
      </c>
      <c r="CY29" s="95"/>
      <c r="CZ29" s="95">
        <f>CZ13</f>
        <v>-78930</v>
      </c>
      <c r="DA29" s="95">
        <f aca="true" t="shared" si="87" ref="DA29:DN29">DA13</f>
        <v>-59430</v>
      </c>
      <c r="DB29" s="95">
        <f t="shared" si="87"/>
        <v>-44622</v>
      </c>
      <c r="DC29" s="95">
        <f t="shared" si="87"/>
        <v>-33334.29</v>
      </c>
      <c r="DD29" s="95">
        <f t="shared" si="87"/>
        <v>-24688.1358</v>
      </c>
      <c r="DE29" s="95">
        <f t="shared" si="87"/>
        <v>-18024.537141</v>
      </c>
      <c r="DF29" s="95">
        <f t="shared" si="87"/>
        <v>-12849.29640882</v>
      </c>
      <c r="DG29" s="95">
        <f t="shared" si="87"/>
        <v>-8791.820264808899</v>
      </c>
      <c r="DH29" s="95">
        <f t="shared" si="87"/>
        <v>-5574.220976730077</v>
      </c>
      <c r="DI29" s="95">
        <f t="shared" si="87"/>
        <v>-2988.1425300373357</v>
      </c>
      <c r="DJ29" s="95">
        <f t="shared" si="87"/>
        <v>-4867.380329961676</v>
      </c>
      <c r="DK29" s="95">
        <f t="shared" si="87"/>
        <v>-4014.8461024974113</v>
      </c>
      <c r="DL29" s="95">
        <f t="shared" si="87"/>
        <v>-3432.7917006407333</v>
      </c>
      <c r="DM29" s="95">
        <f t="shared" si="87"/>
        <v>-3055.477095946625</v>
      </c>
      <c r="DN29" s="95">
        <f t="shared" si="87"/>
        <v>-2833.6715157695644</v>
      </c>
      <c r="DO29" s="93"/>
    </row>
    <row r="30" spans="1:119" ht="18" customHeight="1" thickBot="1">
      <c r="A30" s="61"/>
      <c r="B30" s="388"/>
      <c r="C30" s="108"/>
      <c r="D30" s="106" t="s">
        <v>116</v>
      </c>
      <c r="E30" s="106"/>
      <c r="F30" s="106"/>
      <c r="G30" s="107"/>
      <c r="J30" s="128"/>
      <c r="K30" s="128"/>
      <c r="L30" s="128"/>
      <c r="N30" s="61"/>
      <c r="O30" s="412" t="s">
        <v>103</v>
      </c>
      <c r="P30" s="446">
        <f>P27/C32</f>
        <v>0.0676254580381779</v>
      </c>
      <c r="Q30" s="447"/>
      <c r="S30" s="126"/>
      <c r="U30" s="131"/>
      <c r="V30" s="346" t="s">
        <v>99</v>
      </c>
      <c r="W30" s="95"/>
      <c r="X30" s="56">
        <f>-X21</f>
        <v>44800</v>
      </c>
      <c r="Y30" s="56">
        <f aca="true" t="shared" si="88" ref="Y30:AL30">-Y21</f>
        <v>43650</v>
      </c>
      <c r="Z30" s="56">
        <f t="shared" si="88"/>
        <v>42499.5</v>
      </c>
      <c r="AA30" s="56">
        <f t="shared" si="88"/>
        <v>41348.415</v>
      </c>
      <c r="AB30" s="56">
        <f t="shared" si="88"/>
        <v>40196.65455</v>
      </c>
      <c r="AC30" s="56">
        <f t="shared" si="88"/>
        <v>39044.1224535</v>
      </c>
      <c r="AD30" s="56">
        <f t="shared" si="88"/>
        <v>37890.716455695</v>
      </c>
      <c r="AE30" s="56">
        <f t="shared" si="88"/>
        <v>36736.327915590155</v>
      </c>
      <c r="AF30" s="56">
        <f t="shared" si="88"/>
        <v>35580.84146122227</v>
      </c>
      <c r="AG30" s="56">
        <f t="shared" si="88"/>
        <v>34424.13462713304</v>
      </c>
      <c r="AH30" s="56">
        <f t="shared" si="88"/>
        <v>4066.0774731963447</v>
      </c>
      <c r="AI30" s="56">
        <f t="shared" si="88"/>
        <v>4106.532183856949</v>
      </c>
      <c r="AJ30" s="56">
        <f t="shared" si="88"/>
        <v>4145.352646790598</v>
      </c>
      <c r="AK30" s="56">
        <f t="shared" si="88"/>
        <v>4182.384009945747</v>
      </c>
      <c r="AL30" s="56">
        <f t="shared" si="88"/>
        <v>4217.462215874964</v>
      </c>
      <c r="AM30" s="93"/>
      <c r="AP30" s="346" t="s">
        <v>99</v>
      </c>
      <c r="AQ30" s="95"/>
      <c r="AR30" s="56">
        <f>-AR21</f>
        <v>45487.5</v>
      </c>
      <c r="AS30" s="56">
        <f aca="true" t="shared" si="89" ref="AS30:BF30">-AS21</f>
        <v>44295.9375</v>
      </c>
      <c r="AT30" s="56">
        <f t="shared" si="89"/>
        <v>43147.734375</v>
      </c>
      <c r="AU30" s="56">
        <f t="shared" si="89"/>
        <v>41999.06109375</v>
      </c>
      <c r="AV30" s="56">
        <f t="shared" si="89"/>
        <v>40849.8329484375</v>
      </c>
      <c r="AW30" s="56">
        <f t="shared" si="89"/>
        <v>39699.95977185937</v>
      </c>
      <c r="AX30" s="56">
        <f t="shared" si="89"/>
        <v>38549.34563997234</v>
      </c>
      <c r="AY30" s="56">
        <f t="shared" si="89"/>
        <v>37397.88855908136</v>
      </c>
      <c r="AZ30" s="56">
        <f t="shared" si="89"/>
        <v>36245.480136888036</v>
      </c>
      <c r="BA30" s="56">
        <f t="shared" si="89"/>
        <v>35092.0052365821</v>
      </c>
      <c r="BB30" s="56">
        <f t="shared" si="89"/>
        <v>4537.341613117858</v>
      </c>
      <c r="BC30" s="56">
        <f t="shared" si="89"/>
        <v>4581.359530774537</v>
      </c>
      <c r="BD30" s="56">
        <f t="shared" si="89"/>
        <v>4623.9213610540655</v>
      </c>
      <c r="BE30" s="56">
        <f t="shared" si="89"/>
        <v>4664.881159922387</v>
      </c>
      <c r="BF30" s="56">
        <f t="shared" si="89"/>
        <v>4704.084223350437</v>
      </c>
      <c r="BG30" s="93"/>
      <c r="BJ30" s="58" t="s">
        <v>99</v>
      </c>
      <c r="BK30" s="95"/>
      <c r="BL30" s="94">
        <f>-BL21</f>
        <v>44800</v>
      </c>
      <c r="BM30" s="94">
        <f aca="true" t="shared" si="90" ref="BM30:BZ30">-BM21</f>
        <v>43670</v>
      </c>
      <c r="BN30" s="94">
        <f t="shared" si="90"/>
        <v>42541.1</v>
      </c>
      <c r="BO30" s="94">
        <f t="shared" si="90"/>
        <v>41413.312999999995</v>
      </c>
      <c r="BP30" s="94">
        <f t="shared" si="90"/>
        <v>40286.65199</v>
      </c>
      <c r="BQ30" s="94">
        <f t="shared" si="90"/>
        <v>39161.1299417</v>
      </c>
      <c r="BR30" s="94">
        <f t="shared" si="90"/>
        <v>38036.759799791</v>
      </c>
      <c r="BS30" s="94">
        <f t="shared" si="90"/>
        <v>36913.55447282153</v>
      </c>
      <c r="BT30" s="94">
        <f t="shared" si="90"/>
        <v>35791.52682362371</v>
      </c>
      <c r="BU30" s="94">
        <f t="shared" si="90"/>
        <v>34670.68965928231</v>
      </c>
      <c r="BV30" s="94">
        <f t="shared" si="90"/>
        <v>4351.0557206296635</v>
      </c>
      <c r="BW30" s="94">
        <f t="shared" si="90"/>
        <v>4432.637671248816</v>
      </c>
      <c r="BX30" s="94">
        <f t="shared" si="90"/>
        <v>4515.448085966547</v>
      </c>
      <c r="BY30" s="94">
        <f t="shared" si="90"/>
        <v>4599.499438817417</v>
      </c>
      <c r="BZ30" s="94">
        <f t="shared" si="90"/>
        <v>4684.80409045925</v>
      </c>
      <c r="CA30" s="93"/>
      <c r="CD30" s="58" t="s">
        <v>99</v>
      </c>
      <c r="CE30" s="95"/>
      <c r="CF30" s="94">
        <f>-CF21</f>
        <v>41950</v>
      </c>
      <c r="CG30" s="94">
        <f aca="true" t="shared" si="91" ref="CG30:CT30">-CG21</f>
        <v>41100</v>
      </c>
      <c r="CH30" s="94">
        <f t="shared" si="91"/>
        <v>40249.5</v>
      </c>
      <c r="CI30" s="94">
        <f t="shared" si="91"/>
        <v>39398.415</v>
      </c>
      <c r="CJ30" s="94">
        <f t="shared" si="91"/>
        <v>38546.65455</v>
      </c>
      <c r="CK30" s="94">
        <f t="shared" si="91"/>
        <v>37694.1224535</v>
      </c>
      <c r="CL30" s="94">
        <f t="shared" si="91"/>
        <v>36840.716455695</v>
      </c>
      <c r="CM30" s="94">
        <f t="shared" si="91"/>
        <v>35986.327915590155</v>
      </c>
      <c r="CN30" s="94">
        <f t="shared" si="91"/>
        <v>35130.84146122227</v>
      </c>
      <c r="CO30" s="94">
        <f t="shared" si="91"/>
        <v>34274.13462713304</v>
      </c>
      <c r="CP30" s="94">
        <f t="shared" si="91"/>
        <v>4066.0774731963447</v>
      </c>
      <c r="CQ30" s="94">
        <f t="shared" si="91"/>
        <v>4106.532183856949</v>
      </c>
      <c r="CR30" s="94">
        <f t="shared" si="91"/>
        <v>4145.352646790598</v>
      </c>
      <c r="CS30" s="94">
        <f t="shared" si="91"/>
        <v>4182.384009945747</v>
      </c>
      <c r="CT30" s="94">
        <f t="shared" si="91"/>
        <v>4217.462215874964</v>
      </c>
      <c r="CU30" s="93"/>
      <c r="CX30" s="58" t="s">
        <v>99</v>
      </c>
      <c r="CY30" s="95"/>
      <c r="CZ30" s="94">
        <f>-CZ21</f>
        <v>42930</v>
      </c>
      <c r="DA30" s="94">
        <f aca="true" t="shared" si="92" ref="DA30:DN30">-DA21</f>
        <v>42180</v>
      </c>
      <c r="DB30" s="94">
        <f t="shared" si="92"/>
        <v>41434.5</v>
      </c>
      <c r="DC30" s="94">
        <f t="shared" si="92"/>
        <v>40693.665</v>
      </c>
      <c r="DD30" s="94">
        <f t="shared" si="92"/>
        <v>39957.667050000004</v>
      </c>
      <c r="DE30" s="94">
        <f t="shared" si="92"/>
        <v>39226.6855785</v>
      </c>
      <c r="DF30" s="94">
        <f t="shared" si="92"/>
        <v>38500.907736945</v>
      </c>
      <c r="DG30" s="94">
        <f t="shared" si="92"/>
        <v>37780.52876090265</v>
      </c>
      <c r="DH30" s="94">
        <f t="shared" si="92"/>
        <v>37065.75234880039</v>
      </c>
      <c r="DI30" s="94">
        <f t="shared" si="92"/>
        <v>36356.79105909007</v>
      </c>
      <c r="DJ30" s="94">
        <f t="shared" si="92"/>
        <v>6643.866726751226</v>
      </c>
      <c r="DK30" s="94">
        <f t="shared" si="92"/>
        <v>6847.210900089574</v>
      </c>
      <c r="DL30" s="94">
        <f t="shared" si="92"/>
        <v>7057.065298834856</v>
      </c>
      <c r="DM30" s="94">
        <f t="shared" si="92"/>
        <v>7273.682294592218</v>
      </c>
      <c r="DN30" s="94">
        <f t="shared" si="92"/>
        <v>7497.325414753759</v>
      </c>
      <c r="DO30" s="93"/>
    </row>
    <row r="31" spans="1:119" ht="19.5" customHeight="1" thickBot="1" thickTop="1">
      <c r="A31" s="61"/>
      <c r="B31" s="400"/>
      <c r="C31" s="123">
        <v>0</v>
      </c>
      <c r="D31" s="106" t="s">
        <v>116</v>
      </c>
      <c r="E31" s="106"/>
      <c r="F31" s="106"/>
      <c r="G31" s="107"/>
      <c r="K31" s="53"/>
      <c r="L31" s="53"/>
      <c r="N31" s="61"/>
      <c r="O31" s="413"/>
      <c r="P31" s="448"/>
      <c r="Q31" s="449"/>
      <c r="S31" s="130"/>
      <c r="U31" s="133"/>
      <c r="V31" s="357" t="s">
        <v>87</v>
      </c>
      <c r="W31" s="114"/>
      <c r="X31" s="270">
        <f aca="true" t="shared" si="93" ref="X31:AL31">X24-X27</f>
        <v>-45000</v>
      </c>
      <c r="Y31" s="270">
        <f t="shared" si="93"/>
        <v>-71250</v>
      </c>
      <c r="Z31" s="270">
        <f t="shared" si="93"/>
        <v>-83437.5</v>
      </c>
      <c r="AA31" s="270">
        <f t="shared" si="93"/>
        <v>-85078.125</v>
      </c>
      <c r="AB31" s="270">
        <f t="shared" si="93"/>
        <v>-78808.59375</v>
      </c>
      <c r="AC31" s="270">
        <f t="shared" si="93"/>
        <v>-66606.4453125</v>
      </c>
      <c r="AD31" s="270">
        <f t="shared" si="93"/>
        <v>-49954.833984375</v>
      </c>
      <c r="AE31" s="270">
        <f t="shared" si="93"/>
        <v>-29966.12548828125</v>
      </c>
      <c r="AF31" s="270">
        <f t="shared" si="93"/>
        <v>-7474.5941162109375</v>
      </c>
      <c r="AG31" s="270">
        <f t="shared" si="93"/>
        <v>16894.054412841797</v>
      </c>
      <c r="AH31" s="270">
        <f t="shared" si="93"/>
        <v>12670.540809631348</v>
      </c>
      <c r="AI31" s="270">
        <f t="shared" si="93"/>
        <v>9502.90560722351</v>
      </c>
      <c r="AJ31" s="270">
        <f t="shared" si="93"/>
        <v>7127.179205417633</v>
      </c>
      <c r="AK31" s="270">
        <f t="shared" si="93"/>
        <v>5345.384404063225</v>
      </c>
      <c r="AL31" s="270">
        <f t="shared" si="93"/>
        <v>4009.0383030474186</v>
      </c>
      <c r="AM31" s="93"/>
      <c r="AP31" s="357" t="s">
        <v>87</v>
      </c>
      <c r="AQ31" s="114"/>
      <c r="AR31" s="270">
        <f aca="true" t="shared" si="94" ref="AR31:BF31">AR24-AR27</f>
        <v>-45000</v>
      </c>
      <c r="AS31" s="270">
        <f t="shared" si="94"/>
        <v>-71250</v>
      </c>
      <c r="AT31" s="270">
        <f t="shared" si="94"/>
        <v>-83437.5</v>
      </c>
      <c r="AU31" s="270">
        <f t="shared" si="94"/>
        <v>-85078.125</v>
      </c>
      <c r="AV31" s="270">
        <f t="shared" si="94"/>
        <v>-78808.59375</v>
      </c>
      <c r="AW31" s="270">
        <f t="shared" si="94"/>
        <v>-66606.4453125</v>
      </c>
      <c r="AX31" s="270">
        <f t="shared" si="94"/>
        <v>-49954.833984375</v>
      </c>
      <c r="AY31" s="270">
        <f t="shared" si="94"/>
        <v>-29966.12548828125</v>
      </c>
      <c r="AZ31" s="270">
        <f t="shared" si="94"/>
        <v>-7474.5941162109375</v>
      </c>
      <c r="BA31" s="270">
        <f t="shared" si="94"/>
        <v>16894.054412841797</v>
      </c>
      <c r="BB31" s="270">
        <f t="shared" si="94"/>
        <v>12670.540809631348</v>
      </c>
      <c r="BC31" s="270">
        <f t="shared" si="94"/>
        <v>9502.90560722351</v>
      </c>
      <c r="BD31" s="270">
        <f t="shared" si="94"/>
        <v>7127.179205417633</v>
      </c>
      <c r="BE31" s="270">
        <f t="shared" si="94"/>
        <v>5345.384404063225</v>
      </c>
      <c r="BF31" s="270">
        <f t="shared" si="94"/>
        <v>4009.0383030474186</v>
      </c>
      <c r="BG31" s="93"/>
      <c r="BJ31" s="66" t="s">
        <v>87</v>
      </c>
      <c r="BK31" s="114"/>
      <c r="BL31" s="114">
        <f aca="true" t="shared" si="95" ref="BL31:BZ31">BL24-BL27</f>
        <v>-45000</v>
      </c>
      <c r="BM31" s="114">
        <f t="shared" si="95"/>
        <v>-71250</v>
      </c>
      <c r="BN31" s="114">
        <f t="shared" si="95"/>
        <v>-83437.5</v>
      </c>
      <c r="BO31" s="114">
        <f t="shared" si="95"/>
        <v>-85078.125</v>
      </c>
      <c r="BP31" s="114">
        <f t="shared" si="95"/>
        <v>-78808.59375</v>
      </c>
      <c r="BQ31" s="114">
        <f t="shared" si="95"/>
        <v>-66606.4453125</v>
      </c>
      <c r="BR31" s="114">
        <f t="shared" si="95"/>
        <v>-49954.833984375</v>
      </c>
      <c r="BS31" s="114">
        <f t="shared" si="95"/>
        <v>-29966.12548828125</v>
      </c>
      <c r="BT31" s="114">
        <f t="shared" si="95"/>
        <v>-7474.5941162109375</v>
      </c>
      <c r="BU31" s="114">
        <f t="shared" si="95"/>
        <v>16894.054412841797</v>
      </c>
      <c r="BV31" s="114">
        <f t="shared" si="95"/>
        <v>12670.540809631348</v>
      </c>
      <c r="BW31" s="114">
        <f t="shared" si="95"/>
        <v>9502.90560722351</v>
      </c>
      <c r="BX31" s="114">
        <f t="shared" si="95"/>
        <v>7127.179205417633</v>
      </c>
      <c r="BY31" s="114">
        <f t="shared" si="95"/>
        <v>5345.384404063225</v>
      </c>
      <c r="BZ31" s="114">
        <f t="shared" si="95"/>
        <v>4009.0383030474186</v>
      </c>
      <c r="CA31" s="93"/>
      <c r="CD31" s="66" t="s">
        <v>87</v>
      </c>
      <c r="CE31" s="114"/>
      <c r="CF31" s="114">
        <f aca="true" t="shared" si="96" ref="CF31:CT31">CF24-CF27</f>
        <v>-45000</v>
      </c>
      <c r="CG31" s="114">
        <f t="shared" si="96"/>
        <v>-71250</v>
      </c>
      <c r="CH31" s="114">
        <f t="shared" si="96"/>
        <v>-83437.5</v>
      </c>
      <c r="CI31" s="114">
        <f t="shared" si="96"/>
        <v>-85078.125</v>
      </c>
      <c r="CJ31" s="114">
        <f t="shared" si="96"/>
        <v>-78808.59375</v>
      </c>
      <c r="CK31" s="114">
        <f t="shared" si="96"/>
        <v>-66606.4453125</v>
      </c>
      <c r="CL31" s="114">
        <f t="shared" si="96"/>
        <v>-49954.833984375</v>
      </c>
      <c r="CM31" s="114">
        <f t="shared" si="96"/>
        <v>-29966.12548828125</v>
      </c>
      <c r="CN31" s="114">
        <f t="shared" si="96"/>
        <v>-7474.5941162109375</v>
      </c>
      <c r="CO31" s="114">
        <f t="shared" si="96"/>
        <v>16894.054412841797</v>
      </c>
      <c r="CP31" s="114">
        <f t="shared" si="96"/>
        <v>12670.540809631348</v>
      </c>
      <c r="CQ31" s="114">
        <f t="shared" si="96"/>
        <v>9502.90560722351</v>
      </c>
      <c r="CR31" s="114">
        <f t="shared" si="96"/>
        <v>7127.179205417633</v>
      </c>
      <c r="CS31" s="114">
        <f t="shared" si="96"/>
        <v>5345.384404063225</v>
      </c>
      <c r="CT31" s="114">
        <f t="shared" si="96"/>
        <v>4009.0383030474186</v>
      </c>
      <c r="CU31" s="93"/>
      <c r="CX31" s="66" t="s">
        <v>87</v>
      </c>
      <c r="CY31" s="114"/>
      <c r="CZ31" s="114">
        <f aca="true" t="shared" si="97" ref="CZ31:DN31">CZ24-CZ27</f>
        <v>-45000</v>
      </c>
      <c r="DA31" s="114">
        <f t="shared" si="97"/>
        <v>-71250</v>
      </c>
      <c r="DB31" s="114">
        <f t="shared" si="97"/>
        <v>-83437.5</v>
      </c>
      <c r="DC31" s="114">
        <f t="shared" si="97"/>
        <v>-85078.125</v>
      </c>
      <c r="DD31" s="114">
        <f t="shared" si="97"/>
        <v>-78808.59375</v>
      </c>
      <c r="DE31" s="114">
        <f t="shared" si="97"/>
        <v>-66606.4453125</v>
      </c>
      <c r="DF31" s="114">
        <f t="shared" si="97"/>
        <v>-49954.833984375</v>
      </c>
      <c r="DG31" s="114">
        <f t="shared" si="97"/>
        <v>-29966.12548828125</v>
      </c>
      <c r="DH31" s="114">
        <f t="shared" si="97"/>
        <v>-7474.5941162109375</v>
      </c>
      <c r="DI31" s="114">
        <f t="shared" si="97"/>
        <v>16894.054412841797</v>
      </c>
      <c r="DJ31" s="114">
        <f t="shared" si="97"/>
        <v>12670.540809631348</v>
      </c>
      <c r="DK31" s="114">
        <f t="shared" si="97"/>
        <v>9502.90560722351</v>
      </c>
      <c r="DL31" s="114">
        <f t="shared" si="97"/>
        <v>7127.179205417633</v>
      </c>
      <c r="DM31" s="114">
        <f t="shared" si="97"/>
        <v>5345.384404063225</v>
      </c>
      <c r="DN31" s="114">
        <f t="shared" si="97"/>
        <v>4009.0383030474186</v>
      </c>
      <c r="DO31" s="93"/>
    </row>
    <row r="32" spans="1:119" ht="12.75" customHeight="1" thickBot="1">
      <c r="A32" s="61"/>
      <c r="B32" s="385" t="s">
        <v>181</v>
      </c>
      <c r="C32" s="173">
        <f>SUM(C28:C31)</f>
        <v>300000</v>
      </c>
      <c r="D32" s="174" t="s">
        <v>36</v>
      </c>
      <c r="E32" s="106"/>
      <c r="F32" s="106"/>
      <c r="G32" s="107"/>
      <c r="K32" s="53"/>
      <c r="L32" s="53"/>
      <c r="N32" s="128"/>
      <c r="O32" s="128"/>
      <c r="P32" s="128"/>
      <c r="Q32" s="128"/>
      <c r="S32" s="132"/>
      <c r="U32" s="135"/>
      <c r="V32" s="358"/>
      <c r="W32" s="95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93"/>
      <c r="AP32" s="358"/>
      <c r="AQ32" s="95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93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3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3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3"/>
    </row>
    <row r="33" spans="1:119" ht="24" customHeight="1" thickBot="1" thickTop="1">
      <c r="A33" s="61"/>
      <c r="B33" s="172"/>
      <c r="C33" s="117"/>
      <c r="D33" s="106"/>
      <c r="E33" s="106"/>
      <c r="F33" s="106"/>
      <c r="G33" s="107"/>
      <c r="K33" s="53"/>
      <c r="L33" s="53"/>
      <c r="N33" s="128"/>
      <c r="O33" s="59"/>
      <c r="P33" s="59"/>
      <c r="Q33" s="59"/>
      <c r="S33" s="122"/>
      <c r="V33" s="359" t="s">
        <v>35</v>
      </c>
      <c r="W33" s="114"/>
      <c r="X33" s="270">
        <f aca="true" t="shared" si="98" ref="X33:AL33">X31+X27</f>
        <v>225000</v>
      </c>
      <c r="Y33" s="270">
        <f t="shared" si="98"/>
        <v>168750</v>
      </c>
      <c r="Z33" s="270">
        <f t="shared" si="98"/>
        <v>126562.5</v>
      </c>
      <c r="AA33" s="270">
        <f t="shared" si="98"/>
        <v>94921.875</v>
      </c>
      <c r="AB33" s="270">
        <f t="shared" si="98"/>
        <v>71191.40625</v>
      </c>
      <c r="AC33" s="270">
        <f t="shared" si="98"/>
        <v>53393.5546875</v>
      </c>
      <c r="AD33" s="270">
        <f t="shared" si="98"/>
        <v>40045.166015625</v>
      </c>
      <c r="AE33" s="270">
        <f t="shared" si="98"/>
        <v>30033.87451171875</v>
      </c>
      <c r="AF33" s="270">
        <f t="shared" si="98"/>
        <v>22525.405883789062</v>
      </c>
      <c r="AG33" s="270">
        <f t="shared" si="98"/>
        <v>16894.054412841797</v>
      </c>
      <c r="AH33" s="270">
        <f t="shared" si="98"/>
        <v>12670.540809631348</v>
      </c>
      <c r="AI33" s="270">
        <f t="shared" si="98"/>
        <v>9502.90560722351</v>
      </c>
      <c r="AJ33" s="270">
        <f t="shared" si="98"/>
        <v>7127.179205417633</v>
      </c>
      <c r="AK33" s="270">
        <f t="shared" si="98"/>
        <v>5345.384404063225</v>
      </c>
      <c r="AL33" s="270">
        <f t="shared" si="98"/>
        <v>4009.0383030474186</v>
      </c>
      <c r="AM33" s="367"/>
      <c r="AP33" s="359" t="s">
        <v>35</v>
      </c>
      <c r="AQ33" s="114"/>
      <c r="AR33" s="270">
        <f aca="true" t="shared" si="99" ref="AR33:BF33">AR31+AR27</f>
        <v>225000</v>
      </c>
      <c r="AS33" s="270">
        <f t="shared" si="99"/>
        <v>168750</v>
      </c>
      <c r="AT33" s="270">
        <f t="shared" si="99"/>
        <v>126562.5</v>
      </c>
      <c r="AU33" s="270">
        <f t="shared" si="99"/>
        <v>94921.875</v>
      </c>
      <c r="AV33" s="270">
        <f t="shared" si="99"/>
        <v>71191.40625</v>
      </c>
      <c r="AW33" s="270">
        <f t="shared" si="99"/>
        <v>53393.5546875</v>
      </c>
      <c r="AX33" s="270">
        <f t="shared" si="99"/>
        <v>40045.166015625</v>
      </c>
      <c r="AY33" s="270">
        <f t="shared" si="99"/>
        <v>30033.87451171875</v>
      </c>
      <c r="AZ33" s="270">
        <f t="shared" si="99"/>
        <v>22525.405883789062</v>
      </c>
      <c r="BA33" s="270">
        <f t="shared" si="99"/>
        <v>16894.054412841797</v>
      </c>
      <c r="BB33" s="270">
        <f t="shared" si="99"/>
        <v>12670.540809631348</v>
      </c>
      <c r="BC33" s="270">
        <f t="shared" si="99"/>
        <v>9502.90560722351</v>
      </c>
      <c r="BD33" s="270">
        <f t="shared" si="99"/>
        <v>7127.179205417633</v>
      </c>
      <c r="BE33" s="270">
        <f t="shared" si="99"/>
        <v>5345.384404063225</v>
      </c>
      <c r="BF33" s="270">
        <f t="shared" si="99"/>
        <v>4009.0383030474186</v>
      </c>
      <c r="BG33" s="134"/>
      <c r="BJ33" s="120" t="s">
        <v>35</v>
      </c>
      <c r="BK33" s="102"/>
      <c r="BL33" s="102">
        <f aca="true" t="shared" si="100" ref="BL33:BZ33">BL31+BL27</f>
        <v>225000</v>
      </c>
      <c r="BM33" s="102">
        <f t="shared" si="100"/>
        <v>168750</v>
      </c>
      <c r="BN33" s="102">
        <f t="shared" si="100"/>
        <v>126562.5</v>
      </c>
      <c r="BO33" s="102">
        <f t="shared" si="100"/>
        <v>94921.875</v>
      </c>
      <c r="BP33" s="102">
        <f t="shared" si="100"/>
        <v>71191.40625</v>
      </c>
      <c r="BQ33" s="102">
        <f t="shared" si="100"/>
        <v>53393.5546875</v>
      </c>
      <c r="BR33" s="102">
        <f t="shared" si="100"/>
        <v>40045.166015625</v>
      </c>
      <c r="BS33" s="102">
        <f t="shared" si="100"/>
        <v>30033.87451171875</v>
      </c>
      <c r="BT33" s="102">
        <f t="shared" si="100"/>
        <v>22525.405883789062</v>
      </c>
      <c r="BU33" s="102">
        <f t="shared" si="100"/>
        <v>16894.054412841797</v>
      </c>
      <c r="BV33" s="102">
        <f t="shared" si="100"/>
        <v>12670.540809631348</v>
      </c>
      <c r="BW33" s="102">
        <f t="shared" si="100"/>
        <v>9502.90560722351</v>
      </c>
      <c r="BX33" s="102">
        <f t="shared" si="100"/>
        <v>7127.179205417633</v>
      </c>
      <c r="BY33" s="102">
        <f t="shared" si="100"/>
        <v>5345.384404063225</v>
      </c>
      <c r="BZ33" s="102">
        <f t="shared" si="100"/>
        <v>4009.0383030474186</v>
      </c>
      <c r="CA33" s="93"/>
      <c r="CD33" s="120" t="s">
        <v>35</v>
      </c>
      <c r="CE33" s="102"/>
      <c r="CF33" s="102">
        <f aca="true" t="shared" si="101" ref="CF33:CT33">CF31+CF27</f>
        <v>225000</v>
      </c>
      <c r="CG33" s="102">
        <f t="shared" si="101"/>
        <v>168750</v>
      </c>
      <c r="CH33" s="102">
        <f t="shared" si="101"/>
        <v>126562.5</v>
      </c>
      <c r="CI33" s="102">
        <f t="shared" si="101"/>
        <v>94921.875</v>
      </c>
      <c r="CJ33" s="102">
        <f t="shared" si="101"/>
        <v>71191.40625</v>
      </c>
      <c r="CK33" s="102">
        <f t="shared" si="101"/>
        <v>53393.5546875</v>
      </c>
      <c r="CL33" s="102">
        <f t="shared" si="101"/>
        <v>40045.166015625</v>
      </c>
      <c r="CM33" s="102">
        <f t="shared" si="101"/>
        <v>30033.87451171875</v>
      </c>
      <c r="CN33" s="102">
        <f t="shared" si="101"/>
        <v>22525.405883789062</v>
      </c>
      <c r="CO33" s="102">
        <f t="shared" si="101"/>
        <v>16894.054412841797</v>
      </c>
      <c r="CP33" s="102">
        <f t="shared" si="101"/>
        <v>12670.540809631348</v>
      </c>
      <c r="CQ33" s="102">
        <f t="shared" si="101"/>
        <v>9502.90560722351</v>
      </c>
      <c r="CR33" s="102">
        <f t="shared" si="101"/>
        <v>7127.179205417633</v>
      </c>
      <c r="CS33" s="102">
        <f t="shared" si="101"/>
        <v>5345.384404063225</v>
      </c>
      <c r="CT33" s="102">
        <f t="shared" si="101"/>
        <v>4009.0383030474186</v>
      </c>
      <c r="CU33" s="93"/>
      <c r="CX33" s="120" t="s">
        <v>35</v>
      </c>
      <c r="CY33" s="102"/>
      <c r="CZ33" s="102">
        <f aca="true" t="shared" si="102" ref="CZ33:DN33">CZ31+CZ27</f>
        <v>225000</v>
      </c>
      <c r="DA33" s="102">
        <f t="shared" si="102"/>
        <v>168750</v>
      </c>
      <c r="DB33" s="102">
        <f t="shared" si="102"/>
        <v>126562.5</v>
      </c>
      <c r="DC33" s="102">
        <f t="shared" si="102"/>
        <v>94921.875</v>
      </c>
      <c r="DD33" s="102">
        <f t="shared" si="102"/>
        <v>71191.40625</v>
      </c>
      <c r="DE33" s="102">
        <f t="shared" si="102"/>
        <v>53393.5546875</v>
      </c>
      <c r="DF33" s="102">
        <f t="shared" si="102"/>
        <v>40045.166015625</v>
      </c>
      <c r="DG33" s="102">
        <f t="shared" si="102"/>
        <v>30033.87451171875</v>
      </c>
      <c r="DH33" s="102">
        <f t="shared" si="102"/>
        <v>22525.405883789062</v>
      </c>
      <c r="DI33" s="102">
        <f t="shared" si="102"/>
        <v>16894.054412841797</v>
      </c>
      <c r="DJ33" s="102">
        <f t="shared" si="102"/>
        <v>12670.540809631348</v>
      </c>
      <c r="DK33" s="102">
        <f t="shared" si="102"/>
        <v>9502.90560722351</v>
      </c>
      <c r="DL33" s="102">
        <f t="shared" si="102"/>
        <v>7127.179205417633</v>
      </c>
      <c r="DM33" s="102">
        <f t="shared" si="102"/>
        <v>5345.384404063225</v>
      </c>
      <c r="DN33" s="102">
        <f t="shared" si="102"/>
        <v>4009.0383030474186</v>
      </c>
      <c r="DO33" s="93"/>
    </row>
    <row r="34" spans="1:119" ht="18" customHeight="1" thickBot="1">
      <c r="A34" s="61"/>
      <c r="B34" s="382" t="s">
        <v>8</v>
      </c>
      <c r="C34" s="396">
        <v>1</v>
      </c>
      <c r="D34" s="109"/>
      <c r="E34" s="314" t="s">
        <v>34</v>
      </c>
      <c r="F34" s="313">
        <v>10</v>
      </c>
      <c r="G34" s="111" t="s">
        <v>173</v>
      </c>
      <c r="J34" s="435" t="s">
        <v>130</v>
      </c>
      <c r="K34" s="436"/>
      <c r="L34" s="436"/>
      <c r="M34" s="437"/>
      <c r="N34" s="128"/>
      <c r="O34" s="435" t="s">
        <v>122</v>
      </c>
      <c r="P34" s="436"/>
      <c r="Q34" s="437"/>
      <c r="S34" s="122"/>
      <c r="U34" s="136"/>
      <c r="V34" s="70"/>
      <c r="W34" s="70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P34" s="70"/>
      <c r="AQ34" s="70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</row>
    <row r="35" spans="1:135" ht="34.5" customHeight="1" thickBot="1">
      <c r="A35" s="61"/>
      <c r="B35" s="382" t="s">
        <v>9</v>
      </c>
      <c r="C35" s="312">
        <v>0.04</v>
      </c>
      <c r="D35" s="106"/>
      <c r="E35" s="106"/>
      <c r="F35" s="106"/>
      <c r="G35" s="107"/>
      <c r="J35" s="438"/>
      <c r="K35" s="439"/>
      <c r="L35" s="439"/>
      <c r="M35" s="440"/>
      <c r="N35" s="128"/>
      <c r="O35" s="438"/>
      <c r="P35" s="439"/>
      <c r="Q35" s="440"/>
      <c r="R35" s="128"/>
      <c r="S35" s="122"/>
      <c r="T35" s="59"/>
      <c r="U35" s="284"/>
      <c r="V35" s="301" t="s">
        <v>72</v>
      </c>
      <c r="W35" s="21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5"/>
      <c r="AI35" s="285"/>
      <c r="AJ35" s="285"/>
      <c r="AK35" s="285"/>
      <c r="AL35" s="285"/>
      <c r="AM35" s="215"/>
      <c r="AN35" s="59"/>
      <c r="AO35" s="59"/>
      <c r="AP35" s="286" t="s">
        <v>72</v>
      </c>
      <c r="AQ35" s="21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15"/>
      <c r="BH35" s="59"/>
      <c r="BI35" s="59"/>
      <c r="BJ35" s="137" t="s">
        <v>72</v>
      </c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59"/>
      <c r="CC35" s="59"/>
      <c r="CD35" s="137" t="s">
        <v>72</v>
      </c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59"/>
      <c r="CW35" s="59"/>
      <c r="CX35" s="137" t="s">
        <v>72</v>
      </c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</row>
    <row r="36" spans="1:135" s="59" customFormat="1" ht="20.25" customHeight="1">
      <c r="A36" s="60"/>
      <c r="B36" s="382" t="s">
        <v>3</v>
      </c>
      <c r="C36" s="313">
        <v>15</v>
      </c>
      <c r="D36" s="282" t="s">
        <v>4</v>
      </c>
      <c r="E36" s="109" t="s">
        <v>33</v>
      </c>
      <c r="F36" s="109"/>
      <c r="G36" s="107"/>
      <c r="J36" s="438"/>
      <c r="K36" s="439"/>
      <c r="L36" s="439"/>
      <c r="M36" s="440"/>
      <c r="N36" s="128"/>
      <c r="O36" s="438"/>
      <c r="P36" s="439"/>
      <c r="Q36" s="440"/>
      <c r="S36" s="283"/>
      <c r="T36" s="53"/>
      <c r="U36" s="142"/>
      <c r="V36" s="287"/>
      <c r="W36" s="139"/>
      <c r="X36" s="271" t="str">
        <f>X5</f>
        <v>år 1</v>
      </c>
      <c r="Y36" s="271" t="str">
        <f aca="true" t="shared" si="103" ref="Y36:AL36">Y5</f>
        <v>år 2</v>
      </c>
      <c r="Z36" s="271" t="str">
        <f t="shared" si="103"/>
        <v>år 3</v>
      </c>
      <c r="AA36" s="271" t="str">
        <f t="shared" si="103"/>
        <v>år 4</v>
      </c>
      <c r="AB36" s="271" t="str">
        <f t="shared" si="103"/>
        <v>år 5</v>
      </c>
      <c r="AC36" s="271" t="str">
        <f t="shared" si="103"/>
        <v>år 6</v>
      </c>
      <c r="AD36" s="271" t="str">
        <f t="shared" si="103"/>
        <v>år 7</v>
      </c>
      <c r="AE36" s="271" t="str">
        <f t="shared" si="103"/>
        <v>år 8</v>
      </c>
      <c r="AF36" s="271" t="str">
        <f t="shared" si="103"/>
        <v>år 9</v>
      </c>
      <c r="AG36" s="271" t="str">
        <f t="shared" si="103"/>
        <v>år 10</v>
      </c>
      <c r="AH36" s="271" t="str">
        <f t="shared" si="103"/>
        <v>år 11</v>
      </c>
      <c r="AI36" s="271" t="str">
        <f t="shared" si="103"/>
        <v>år 12</v>
      </c>
      <c r="AJ36" s="271" t="str">
        <f t="shared" si="103"/>
        <v>år 13</v>
      </c>
      <c r="AK36" s="271" t="str">
        <f t="shared" si="103"/>
        <v>år 14</v>
      </c>
      <c r="AL36" s="271" t="str">
        <f t="shared" si="103"/>
        <v>år 15</v>
      </c>
      <c r="AM36" s="141"/>
      <c r="AN36" s="53"/>
      <c r="AO36" s="53"/>
      <c r="AP36" s="287"/>
      <c r="AQ36" s="139"/>
      <c r="AR36" s="271" t="str">
        <f>AR5</f>
        <v>år 1</v>
      </c>
      <c r="AS36" s="271" t="str">
        <f aca="true" t="shared" si="104" ref="AS36:BF36">AS5</f>
        <v>år 2</v>
      </c>
      <c r="AT36" s="271" t="str">
        <f t="shared" si="104"/>
        <v>år 3</v>
      </c>
      <c r="AU36" s="271" t="str">
        <f t="shared" si="104"/>
        <v>år 4</v>
      </c>
      <c r="AV36" s="271" t="str">
        <f t="shared" si="104"/>
        <v>år 5</v>
      </c>
      <c r="AW36" s="271" t="str">
        <f t="shared" si="104"/>
        <v>år 6</v>
      </c>
      <c r="AX36" s="271" t="str">
        <f t="shared" si="104"/>
        <v>år 7</v>
      </c>
      <c r="AY36" s="271" t="str">
        <f t="shared" si="104"/>
        <v>år 8</v>
      </c>
      <c r="AZ36" s="271" t="str">
        <f t="shared" si="104"/>
        <v>år 9</v>
      </c>
      <c r="BA36" s="271" t="str">
        <f t="shared" si="104"/>
        <v>år 10</v>
      </c>
      <c r="BB36" s="271" t="str">
        <f t="shared" si="104"/>
        <v>år 11</v>
      </c>
      <c r="BC36" s="271" t="str">
        <f t="shared" si="104"/>
        <v>år 12</v>
      </c>
      <c r="BD36" s="271" t="str">
        <f t="shared" si="104"/>
        <v>år 13</v>
      </c>
      <c r="BE36" s="271" t="str">
        <f t="shared" si="104"/>
        <v>år 14</v>
      </c>
      <c r="BF36" s="271" t="str">
        <f t="shared" si="104"/>
        <v>år 15</v>
      </c>
      <c r="BG36" s="141"/>
      <c r="BH36" s="53"/>
      <c r="BI36" s="53"/>
      <c r="BJ36" s="287"/>
      <c r="BK36" s="139"/>
      <c r="BL36" s="140" t="str">
        <f>BL5</f>
        <v>år 1</v>
      </c>
      <c r="BM36" s="140" t="str">
        <f aca="true" t="shared" si="105" ref="BM36:BZ36">BM5</f>
        <v>år 2</v>
      </c>
      <c r="BN36" s="140" t="str">
        <f t="shared" si="105"/>
        <v>år 3</v>
      </c>
      <c r="BO36" s="140" t="str">
        <f t="shared" si="105"/>
        <v>år 4</v>
      </c>
      <c r="BP36" s="140" t="str">
        <f t="shared" si="105"/>
        <v>år 5</v>
      </c>
      <c r="BQ36" s="140" t="str">
        <f t="shared" si="105"/>
        <v>år 6</v>
      </c>
      <c r="BR36" s="140" t="str">
        <f t="shared" si="105"/>
        <v>år 7</v>
      </c>
      <c r="BS36" s="140" t="str">
        <f t="shared" si="105"/>
        <v>år 8</v>
      </c>
      <c r="BT36" s="140" t="str">
        <f t="shared" si="105"/>
        <v>år 9</v>
      </c>
      <c r="BU36" s="140" t="str">
        <f t="shared" si="105"/>
        <v>år 10</v>
      </c>
      <c r="BV36" s="140" t="str">
        <f t="shared" si="105"/>
        <v>år 11</v>
      </c>
      <c r="BW36" s="140" t="str">
        <f t="shared" si="105"/>
        <v>år 12</v>
      </c>
      <c r="BX36" s="140" t="str">
        <f t="shared" si="105"/>
        <v>år 13</v>
      </c>
      <c r="BY36" s="140" t="str">
        <f t="shared" si="105"/>
        <v>år 14</v>
      </c>
      <c r="BZ36" s="140" t="str">
        <f t="shared" si="105"/>
        <v>år 15</v>
      </c>
      <c r="CA36" s="141"/>
      <c r="CB36" s="53"/>
      <c r="CC36" s="53"/>
      <c r="CD36" s="138"/>
      <c r="CE36" s="139"/>
      <c r="CF36" s="140" t="str">
        <f>CF5</f>
        <v>år 1</v>
      </c>
      <c r="CG36" s="140" t="str">
        <f aca="true" t="shared" si="106" ref="CG36:CT36">CG5</f>
        <v>år 2</v>
      </c>
      <c r="CH36" s="140" t="str">
        <f t="shared" si="106"/>
        <v>år 3</v>
      </c>
      <c r="CI36" s="140" t="str">
        <f t="shared" si="106"/>
        <v>år 4</v>
      </c>
      <c r="CJ36" s="140" t="str">
        <f t="shared" si="106"/>
        <v>år 5</v>
      </c>
      <c r="CK36" s="140" t="str">
        <f t="shared" si="106"/>
        <v>år 6</v>
      </c>
      <c r="CL36" s="140" t="str">
        <f t="shared" si="106"/>
        <v>år 7</v>
      </c>
      <c r="CM36" s="140" t="str">
        <f t="shared" si="106"/>
        <v>år 8</v>
      </c>
      <c r="CN36" s="140" t="str">
        <f t="shared" si="106"/>
        <v>år 9</v>
      </c>
      <c r="CO36" s="140" t="str">
        <f t="shared" si="106"/>
        <v>år 10</v>
      </c>
      <c r="CP36" s="140" t="str">
        <f t="shared" si="106"/>
        <v>år 11</v>
      </c>
      <c r="CQ36" s="140" t="str">
        <f t="shared" si="106"/>
        <v>år 12</v>
      </c>
      <c r="CR36" s="140" t="str">
        <f t="shared" si="106"/>
        <v>år 13</v>
      </c>
      <c r="CS36" s="140" t="str">
        <f t="shared" si="106"/>
        <v>år 14</v>
      </c>
      <c r="CT36" s="140" t="str">
        <f t="shared" si="106"/>
        <v>år 15</v>
      </c>
      <c r="CU36" s="141"/>
      <c r="CV36" s="53"/>
      <c r="CW36" s="53"/>
      <c r="CX36" s="138"/>
      <c r="CY36" s="139"/>
      <c r="CZ36" s="140" t="str">
        <f>CZ5</f>
        <v>år 1</v>
      </c>
      <c r="DA36" s="140" t="str">
        <f aca="true" t="shared" si="107" ref="DA36:DN36">DA5</f>
        <v>år 2</v>
      </c>
      <c r="DB36" s="140" t="str">
        <f t="shared" si="107"/>
        <v>år 3</v>
      </c>
      <c r="DC36" s="140" t="str">
        <f t="shared" si="107"/>
        <v>år 4</v>
      </c>
      <c r="DD36" s="140" t="str">
        <f t="shared" si="107"/>
        <v>år 5</v>
      </c>
      <c r="DE36" s="140" t="str">
        <f t="shared" si="107"/>
        <v>år 6</v>
      </c>
      <c r="DF36" s="140" t="str">
        <f t="shared" si="107"/>
        <v>år 7</v>
      </c>
      <c r="DG36" s="140" t="str">
        <f t="shared" si="107"/>
        <v>år 8</v>
      </c>
      <c r="DH36" s="140" t="str">
        <f t="shared" si="107"/>
        <v>år 9</v>
      </c>
      <c r="DI36" s="140" t="str">
        <f t="shared" si="107"/>
        <v>år 10</v>
      </c>
      <c r="DJ36" s="140" t="str">
        <f t="shared" si="107"/>
        <v>år 11</v>
      </c>
      <c r="DK36" s="140" t="str">
        <f t="shared" si="107"/>
        <v>år 12</v>
      </c>
      <c r="DL36" s="140" t="str">
        <f t="shared" si="107"/>
        <v>år 13</v>
      </c>
      <c r="DM36" s="140" t="str">
        <f t="shared" si="107"/>
        <v>år 14</v>
      </c>
      <c r="DN36" s="140" t="str">
        <f t="shared" si="107"/>
        <v>år 15</v>
      </c>
      <c r="DO36" s="141"/>
      <c r="DP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</row>
    <row r="37" spans="2:119" s="59" customFormat="1" ht="27" customHeight="1" thickBot="1">
      <c r="B37" s="382" t="s">
        <v>190</v>
      </c>
      <c r="C37" s="109"/>
      <c r="D37" s="109"/>
      <c r="E37" s="109"/>
      <c r="F37" s="109"/>
      <c r="G37" s="111"/>
      <c r="J37" s="441"/>
      <c r="K37" s="442"/>
      <c r="L37" s="442"/>
      <c r="M37" s="443"/>
      <c r="N37" s="186"/>
      <c r="O37" s="441"/>
      <c r="P37" s="442"/>
      <c r="Q37" s="443"/>
      <c r="S37" s="283"/>
      <c r="U37" s="370"/>
      <c r="V37" s="374" t="s">
        <v>73</v>
      </c>
      <c r="W37" s="372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1"/>
      <c r="AP37" s="374" t="s">
        <v>73</v>
      </c>
      <c r="AQ37" s="372"/>
      <c r="AR37" s="375"/>
      <c r="AS37" s="375"/>
      <c r="AT37" s="375"/>
      <c r="AU37" s="375"/>
      <c r="AV37" s="375"/>
      <c r="AW37" s="375"/>
      <c r="AX37" s="375"/>
      <c r="AY37" s="375"/>
      <c r="AZ37" s="375"/>
      <c r="BA37" s="375"/>
      <c r="BB37" s="375"/>
      <c r="BC37" s="375"/>
      <c r="BD37" s="375"/>
      <c r="BE37" s="375"/>
      <c r="BF37" s="375"/>
      <c r="BG37" s="371"/>
      <c r="BJ37" s="374" t="s">
        <v>73</v>
      </c>
      <c r="BK37" s="372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1"/>
      <c r="CD37" s="377" t="s">
        <v>73</v>
      </c>
      <c r="CE37" s="372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1"/>
      <c r="CX37" s="377" t="s">
        <v>73</v>
      </c>
      <c r="CY37" s="372"/>
      <c r="CZ37" s="376"/>
      <c r="DA37" s="37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371"/>
    </row>
    <row r="38" spans="2:131" ht="19.5" customHeight="1">
      <c r="B38" s="398" t="s">
        <v>187</v>
      </c>
      <c r="C38" s="399">
        <v>0.25</v>
      </c>
      <c r="D38" s="106"/>
      <c r="E38" s="106"/>
      <c r="F38" s="106"/>
      <c r="G38" s="107"/>
      <c r="J38" s="234"/>
      <c r="K38" s="235"/>
      <c r="L38" s="235"/>
      <c r="M38" s="236"/>
      <c r="N38" s="186"/>
      <c r="O38" s="234"/>
      <c r="P38" s="235"/>
      <c r="Q38" s="236"/>
      <c r="S38" s="104"/>
      <c r="U38" s="142"/>
      <c r="V38" s="336" t="s">
        <v>108</v>
      </c>
      <c r="W38" s="146"/>
      <c r="X38" s="272">
        <f>-X65</f>
        <v>20200</v>
      </c>
      <c r="Y38" s="272">
        <f aca="true" t="shared" si="108" ref="Y38:AL38">-Y65</f>
        <v>15225</v>
      </c>
      <c r="Z38" s="272">
        <f t="shared" si="108"/>
        <v>11421.75</v>
      </c>
      <c r="AA38" s="272">
        <f t="shared" si="108"/>
        <v>8497.26</v>
      </c>
      <c r="AB38" s="272">
        <f t="shared" si="108"/>
        <v>6231.780825</v>
      </c>
      <c r="AC38" s="272">
        <f t="shared" si="108"/>
        <v>4460.493504</v>
      </c>
      <c r="AD38" s="272">
        <f t="shared" si="108"/>
        <v>3059.7762818925</v>
      </c>
      <c r="AE38" s="272">
        <f t="shared" si="108"/>
        <v>1936.9048548741002</v>
      </c>
      <c r="AF38" s="272">
        <f t="shared" si="108"/>
        <v>1022.3275222879884</v>
      </c>
      <c r="AG38" s="272">
        <f t="shared" si="108"/>
        <v>1013.871524520076</v>
      </c>
      <c r="AH38" s="272">
        <f t="shared" si="108"/>
        <v>531.8520385108782</v>
      </c>
      <c r="AI38" s="272">
        <f t="shared" si="108"/>
        <v>288.1325486230812</v>
      </c>
      <c r="AJ38" s="272">
        <f t="shared" si="108"/>
        <v>107.46278869178241</v>
      </c>
      <c r="AK38" s="272">
        <f t="shared" si="108"/>
        <v>-26.060527267963607</v>
      </c>
      <c r="AL38" s="272">
        <f t="shared" si="108"/>
        <v>-124.3768433470591</v>
      </c>
      <c r="AM38" s="144"/>
      <c r="AP38" s="288" t="s">
        <v>108</v>
      </c>
      <c r="AQ38" s="146"/>
      <c r="AR38" s="272">
        <f>-AR65</f>
        <v>20459.375</v>
      </c>
      <c r="AS38" s="272">
        <f aca="true" t="shared" si="109" ref="AS38:BF38">-AS65</f>
        <v>15473.4375</v>
      </c>
      <c r="AT38" s="272">
        <f t="shared" si="109"/>
        <v>11670.1875</v>
      </c>
      <c r="AU38" s="272">
        <f t="shared" si="109"/>
        <v>8745.6975</v>
      </c>
      <c r="AV38" s="272">
        <f t="shared" si="109"/>
        <v>6480.218325</v>
      </c>
      <c r="AW38" s="272">
        <f t="shared" si="109"/>
        <v>4708.931004</v>
      </c>
      <c r="AX38" s="272">
        <f t="shared" si="109"/>
        <v>3308.2137818925</v>
      </c>
      <c r="AY38" s="272">
        <f t="shared" si="109"/>
        <v>2185.3423548741002</v>
      </c>
      <c r="AZ38" s="272">
        <f t="shared" si="109"/>
        <v>1270.7650222879884</v>
      </c>
      <c r="BA38" s="272">
        <f t="shared" si="109"/>
        <v>512.309024520076</v>
      </c>
      <c r="BB38" s="272">
        <f t="shared" si="109"/>
        <v>697.4770385108782</v>
      </c>
      <c r="BC38" s="272">
        <f t="shared" si="109"/>
        <v>453.7575486230812</v>
      </c>
      <c r="BD38" s="272">
        <f t="shared" si="109"/>
        <v>273.0877886917824</v>
      </c>
      <c r="BE38" s="272">
        <f t="shared" si="109"/>
        <v>139.56447273203617</v>
      </c>
      <c r="BF38" s="272">
        <f t="shared" si="109"/>
        <v>41.24815665294068</v>
      </c>
      <c r="BG38" s="144"/>
      <c r="BJ38" s="288" t="s">
        <v>108</v>
      </c>
      <c r="BK38" s="146"/>
      <c r="BL38" s="143">
        <f>-BL65</f>
        <v>20200</v>
      </c>
      <c r="BM38" s="143">
        <f aca="true" t="shared" si="110" ref="BM38:BZ38">-BM65</f>
        <v>15230</v>
      </c>
      <c r="BN38" s="143">
        <f t="shared" si="110"/>
        <v>11432.15</v>
      </c>
      <c r="BO38" s="143">
        <f t="shared" si="110"/>
        <v>8513.484499999999</v>
      </c>
      <c r="BP38" s="143">
        <f t="shared" si="110"/>
        <v>6254.280185</v>
      </c>
      <c r="BQ38" s="143">
        <f t="shared" si="110"/>
        <v>4489.74537605</v>
      </c>
      <c r="BR38" s="143">
        <f t="shared" si="110"/>
        <v>3096.2871179165</v>
      </c>
      <c r="BS38" s="143">
        <f t="shared" si="110"/>
        <v>1981.211494181945</v>
      </c>
      <c r="BT38" s="143">
        <f t="shared" si="110"/>
        <v>1074.9988628883498</v>
      </c>
      <c r="BU38" s="143">
        <f t="shared" si="110"/>
        <v>325.510282557394</v>
      </c>
      <c r="BV38" s="143">
        <f t="shared" si="110"/>
        <v>603.0966003692079</v>
      </c>
      <c r="BW38" s="143">
        <f t="shared" si="110"/>
        <v>369.6589204710481</v>
      </c>
      <c r="BX38" s="143">
        <f t="shared" si="110"/>
        <v>199.98664848576982</v>
      </c>
      <c r="BY38" s="143">
        <f t="shared" si="110"/>
        <v>78.21832994995407</v>
      </c>
      <c r="BZ38" s="143">
        <f t="shared" si="110"/>
        <v>-7.541374700987717</v>
      </c>
      <c r="CA38" s="144"/>
      <c r="CD38" s="145" t="s">
        <v>108</v>
      </c>
      <c r="CE38" s="146"/>
      <c r="CF38" s="143">
        <f>-CF65</f>
        <v>19487.5</v>
      </c>
      <c r="CG38" s="143">
        <f aca="true" t="shared" si="111" ref="CG38:CT38">-CG65</f>
        <v>14587.5</v>
      </c>
      <c r="CH38" s="143">
        <f t="shared" si="111"/>
        <v>10859.25</v>
      </c>
      <c r="CI38" s="143">
        <f t="shared" si="111"/>
        <v>8009.76</v>
      </c>
      <c r="CJ38" s="143">
        <f t="shared" si="111"/>
        <v>5819.280825</v>
      </c>
      <c r="CK38" s="143">
        <f t="shared" si="111"/>
        <v>4122.993504</v>
      </c>
      <c r="CL38" s="143">
        <f t="shared" si="111"/>
        <v>2797.2762818925</v>
      </c>
      <c r="CM38" s="143">
        <f t="shared" si="111"/>
        <v>1749.4048548741002</v>
      </c>
      <c r="CN38" s="143">
        <f t="shared" si="111"/>
        <v>909.8275222879884</v>
      </c>
      <c r="CO38" s="143">
        <f t="shared" si="111"/>
        <v>226.37152452007604</v>
      </c>
      <c r="CP38" s="143">
        <f t="shared" si="111"/>
        <v>531.8520385108782</v>
      </c>
      <c r="CQ38" s="143">
        <f t="shared" si="111"/>
        <v>288.1325486230812</v>
      </c>
      <c r="CR38" s="143">
        <f t="shared" si="111"/>
        <v>107.46278869178241</v>
      </c>
      <c r="CS38" s="143">
        <f t="shared" si="111"/>
        <v>-26.060527267963607</v>
      </c>
      <c r="CT38" s="143">
        <f t="shared" si="111"/>
        <v>-124.3768433470591</v>
      </c>
      <c r="CU38" s="144"/>
      <c r="CX38" s="145" t="s">
        <v>108</v>
      </c>
      <c r="CY38" s="146"/>
      <c r="CZ38" s="143">
        <f>-CZ65</f>
        <v>19732.5</v>
      </c>
      <c r="DA38" s="143">
        <f aca="true" t="shared" si="112" ref="DA38:DN38">-DA65</f>
        <v>14857.5</v>
      </c>
      <c r="DB38" s="143">
        <f t="shared" si="112"/>
        <v>11155.5</v>
      </c>
      <c r="DC38" s="143">
        <f t="shared" si="112"/>
        <v>8333.5725</v>
      </c>
      <c r="DD38" s="143">
        <f t="shared" si="112"/>
        <v>6172.03395</v>
      </c>
      <c r="DE38" s="143">
        <f t="shared" si="112"/>
        <v>4506.13428525</v>
      </c>
      <c r="DF38" s="143">
        <f t="shared" si="112"/>
        <v>3212.324102205</v>
      </c>
      <c r="DG38" s="143">
        <f t="shared" si="112"/>
        <v>2197.9550662022248</v>
      </c>
      <c r="DH38" s="143">
        <f t="shared" si="112"/>
        <v>1393.5552441825193</v>
      </c>
      <c r="DI38" s="143">
        <f t="shared" si="112"/>
        <v>747.0356325093339</v>
      </c>
      <c r="DJ38" s="143">
        <f t="shared" si="112"/>
        <v>1176.2993518995986</v>
      </c>
      <c r="DK38" s="143">
        <f t="shared" si="112"/>
        <v>973.3022276812376</v>
      </c>
      <c r="DL38" s="143">
        <f t="shared" si="112"/>
        <v>835.3909517028469</v>
      </c>
      <c r="DM38" s="143">
        <f t="shared" si="112"/>
        <v>746.7640438936539</v>
      </c>
      <c r="DN38" s="143">
        <f t="shared" si="112"/>
        <v>695.5889563726394</v>
      </c>
      <c r="DO38" s="143"/>
      <c r="DQ38" s="70">
        <f>SUM(CZ38:DP38)</f>
        <v>76735.45631189905</v>
      </c>
      <c r="DW38" s="150"/>
      <c r="DX38" s="150"/>
      <c r="DY38" s="150"/>
      <c r="DZ38" s="150"/>
      <c r="EA38" s="150"/>
    </row>
    <row r="39" spans="2:135" s="59" customFormat="1" ht="19.5" customHeight="1">
      <c r="B39" s="398" t="s">
        <v>188</v>
      </c>
      <c r="C39" s="399">
        <v>0.33</v>
      </c>
      <c r="D39" s="109"/>
      <c r="E39" s="109"/>
      <c r="F39" s="109"/>
      <c r="G39" s="111"/>
      <c r="J39" s="192" t="s">
        <v>127</v>
      </c>
      <c r="K39" s="193">
        <f>K58</f>
        <v>-10293.75</v>
      </c>
      <c r="L39" s="194" t="s">
        <v>126</v>
      </c>
      <c r="M39" s="195"/>
      <c r="N39" s="128"/>
      <c r="O39" s="192" t="str">
        <f>J39</f>
        <v>- 10 % i elproduktionen</v>
      </c>
      <c r="P39" s="193">
        <f>K59</f>
        <v>-63058.10407608171</v>
      </c>
      <c r="Q39" s="195" t="str">
        <f>L39</f>
        <v>kr. i perioden</v>
      </c>
      <c r="S39" s="113"/>
      <c r="U39" s="370"/>
      <c r="V39" s="378" t="s">
        <v>160</v>
      </c>
      <c r="W39" s="334"/>
      <c r="X39" s="300">
        <f>'Mellemregning 2'!C11</f>
        <v>0</v>
      </c>
      <c r="Y39" s="300">
        <f>X39+X39*$C$41</f>
        <v>0</v>
      </c>
      <c r="Z39" s="300">
        <f aca="true" t="shared" si="113" ref="Z39:AL39">Y39+Y39*$C$41</f>
        <v>0</v>
      </c>
      <c r="AA39" s="300">
        <f t="shared" si="113"/>
        <v>0</v>
      </c>
      <c r="AB39" s="300">
        <f t="shared" si="113"/>
        <v>0</v>
      </c>
      <c r="AC39" s="300">
        <f t="shared" si="113"/>
        <v>0</v>
      </c>
      <c r="AD39" s="300">
        <f t="shared" si="113"/>
        <v>0</v>
      </c>
      <c r="AE39" s="300">
        <f t="shared" si="113"/>
        <v>0</v>
      </c>
      <c r="AF39" s="300">
        <f t="shared" si="113"/>
        <v>0</v>
      </c>
      <c r="AG39" s="300">
        <f t="shared" si="113"/>
        <v>0</v>
      </c>
      <c r="AH39" s="300">
        <f t="shared" si="113"/>
        <v>0</v>
      </c>
      <c r="AI39" s="300">
        <f t="shared" si="113"/>
        <v>0</v>
      </c>
      <c r="AJ39" s="300">
        <f t="shared" si="113"/>
        <v>0</v>
      </c>
      <c r="AK39" s="300">
        <f t="shared" si="113"/>
        <v>0</v>
      </c>
      <c r="AL39" s="300">
        <f t="shared" si="113"/>
        <v>0</v>
      </c>
      <c r="AM39" s="371"/>
      <c r="AP39" s="333" t="s">
        <v>107</v>
      </c>
      <c r="AQ39" s="334"/>
      <c r="AR39" s="300">
        <f>'Mellemregning 2'!C27</f>
        <v>-1312.5</v>
      </c>
      <c r="AS39" s="273">
        <f>AR39+AR39*$C$41</f>
        <v>-1378.125</v>
      </c>
      <c r="AT39" s="273">
        <f aca="true" t="shared" si="114" ref="AT39:BF39">AS39+AS39*$C$41</f>
        <v>-1447.03125</v>
      </c>
      <c r="AU39" s="273">
        <f t="shared" si="114"/>
        <v>-1519.3828125</v>
      </c>
      <c r="AV39" s="273">
        <f t="shared" si="114"/>
        <v>-1595.351953125</v>
      </c>
      <c r="AW39" s="273">
        <f t="shared" si="114"/>
        <v>-1675.11955078125</v>
      </c>
      <c r="AX39" s="273">
        <f t="shared" si="114"/>
        <v>-1758.8755283203125</v>
      </c>
      <c r="AY39" s="273">
        <f t="shared" si="114"/>
        <v>-1846.8193047363281</v>
      </c>
      <c r="AZ39" s="273">
        <f t="shared" si="114"/>
        <v>-1939.1602699731445</v>
      </c>
      <c r="BA39" s="273">
        <f t="shared" si="114"/>
        <v>-2036.1182834718018</v>
      </c>
      <c r="BB39" s="273">
        <f t="shared" si="114"/>
        <v>-2137.924197645392</v>
      </c>
      <c r="BC39" s="273">
        <f t="shared" si="114"/>
        <v>-2244.8204075276612</v>
      </c>
      <c r="BD39" s="273">
        <f t="shared" si="114"/>
        <v>-2357.061427904044</v>
      </c>
      <c r="BE39" s="273">
        <f t="shared" si="114"/>
        <v>-2474.9144992992465</v>
      </c>
      <c r="BF39" s="273">
        <f t="shared" si="114"/>
        <v>-2598.660224264209</v>
      </c>
      <c r="BG39" s="371"/>
      <c r="BI39" s="215">
        <f>SUM(AR39:BH39)</f>
        <v>-28321.86470954839</v>
      </c>
      <c r="BJ39" s="333" t="s">
        <v>107</v>
      </c>
      <c r="BK39" s="334"/>
      <c r="BL39" s="372">
        <f>'Mellemregning 2'!C11</f>
        <v>0</v>
      </c>
      <c r="BM39" s="380">
        <f>BL39+BL39*($C$41-2%)</f>
        <v>0</v>
      </c>
      <c r="BN39" s="380">
        <f aca="true" t="shared" si="115" ref="BN39:BZ39">BM39+BM39*($C$41-2%)</f>
        <v>0</v>
      </c>
      <c r="BO39" s="380">
        <f t="shared" si="115"/>
        <v>0</v>
      </c>
      <c r="BP39" s="380">
        <f t="shared" si="115"/>
        <v>0</v>
      </c>
      <c r="BQ39" s="380">
        <f t="shared" si="115"/>
        <v>0</v>
      </c>
      <c r="BR39" s="380">
        <f t="shared" si="115"/>
        <v>0</v>
      </c>
      <c r="BS39" s="380">
        <f t="shared" si="115"/>
        <v>0</v>
      </c>
      <c r="BT39" s="380">
        <f>BS39+BS39*($C$41-2%)</f>
        <v>0</v>
      </c>
      <c r="BU39" s="380">
        <f t="shared" si="115"/>
        <v>0</v>
      </c>
      <c r="BV39" s="380">
        <f t="shared" si="115"/>
        <v>0</v>
      </c>
      <c r="BW39" s="380">
        <f t="shared" si="115"/>
        <v>0</v>
      </c>
      <c r="BX39" s="380">
        <f t="shared" si="115"/>
        <v>0</v>
      </c>
      <c r="BY39" s="380">
        <f t="shared" si="115"/>
        <v>0</v>
      </c>
      <c r="BZ39" s="380">
        <f t="shared" si="115"/>
        <v>0</v>
      </c>
      <c r="CA39" s="371"/>
      <c r="CD39" s="373" t="s">
        <v>107</v>
      </c>
      <c r="CE39" s="334"/>
      <c r="CF39" s="372">
        <f>'Mellemregning 2'!C11</f>
        <v>0</v>
      </c>
      <c r="CG39" s="300">
        <f>CF39+CF39*$C$41</f>
        <v>0</v>
      </c>
      <c r="CH39" s="300">
        <f aca="true" t="shared" si="116" ref="CH39:CT39">CG39+CG39*$C$41</f>
        <v>0</v>
      </c>
      <c r="CI39" s="300">
        <f t="shared" si="116"/>
        <v>0</v>
      </c>
      <c r="CJ39" s="300">
        <f t="shared" si="116"/>
        <v>0</v>
      </c>
      <c r="CK39" s="300">
        <f t="shared" si="116"/>
        <v>0</v>
      </c>
      <c r="CL39" s="300">
        <f t="shared" si="116"/>
        <v>0</v>
      </c>
      <c r="CM39" s="300">
        <f t="shared" si="116"/>
        <v>0</v>
      </c>
      <c r="CN39" s="300">
        <f t="shared" si="116"/>
        <v>0</v>
      </c>
      <c r="CO39" s="300">
        <f t="shared" si="116"/>
        <v>0</v>
      </c>
      <c r="CP39" s="300">
        <f t="shared" si="116"/>
        <v>0</v>
      </c>
      <c r="CQ39" s="300">
        <f t="shared" si="116"/>
        <v>0</v>
      </c>
      <c r="CR39" s="300">
        <f t="shared" si="116"/>
        <v>0</v>
      </c>
      <c r="CS39" s="300">
        <f t="shared" si="116"/>
        <v>0</v>
      </c>
      <c r="CT39" s="300">
        <f t="shared" si="116"/>
        <v>0</v>
      </c>
      <c r="CU39" s="371"/>
      <c r="CX39" s="373" t="s">
        <v>107</v>
      </c>
      <c r="CY39" s="334"/>
      <c r="CZ39" s="372">
        <f>'Mellemregning 2'!C45</f>
        <v>0</v>
      </c>
      <c r="DA39" s="300">
        <f>CZ39+CZ39*$C$41</f>
        <v>0</v>
      </c>
      <c r="DB39" s="300">
        <f aca="true" t="shared" si="117" ref="DB39:DN39">DA39+DA39*$C$41</f>
        <v>0</v>
      </c>
      <c r="DC39" s="300">
        <f t="shared" si="117"/>
        <v>0</v>
      </c>
      <c r="DD39" s="300">
        <f t="shared" si="117"/>
        <v>0</v>
      </c>
      <c r="DE39" s="300">
        <f t="shared" si="117"/>
        <v>0</v>
      </c>
      <c r="DF39" s="300">
        <f t="shared" si="117"/>
        <v>0</v>
      </c>
      <c r="DG39" s="300">
        <f t="shared" si="117"/>
        <v>0</v>
      </c>
      <c r="DH39" s="300">
        <f t="shared" si="117"/>
        <v>0</v>
      </c>
      <c r="DI39" s="300">
        <f t="shared" si="117"/>
        <v>0</v>
      </c>
      <c r="DJ39" s="300">
        <f t="shared" si="117"/>
        <v>0</v>
      </c>
      <c r="DK39" s="300">
        <f t="shared" si="117"/>
        <v>0</v>
      </c>
      <c r="DL39" s="300">
        <f t="shared" si="117"/>
        <v>0</v>
      </c>
      <c r="DM39" s="300">
        <f t="shared" si="117"/>
        <v>0</v>
      </c>
      <c r="DN39" s="300">
        <f t="shared" si="117"/>
        <v>0</v>
      </c>
      <c r="DO39" s="371"/>
      <c r="DP39" s="64"/>
      <c r="DT39" s="64"/>
      <c r="DU39" s="64"/>
      <c r="DV39" s="64"/>
      <c r="EB39" s="64"/>
      <c r="EC39" s="64"/>
      <c r="ED39" s="64"/>
      <c r="EE39" s="64"/>
    </row>
    <row r="40" spans="1:135" s="150" customFormat="1" ht="14.25" customHeight="1">
      <c r="A40" s="53"/>
      <c r="B40" s="445" t="s">
        <v>112</v>
      </c>
      <c r="C40" s="106"/>
      <c r="D40" s="106"/>
      <c r="E40" s="106"/>
      <c r="F40" s="106"/>
      <c r="G40" s="107"/>
      <c r="H40" s="53"/>
      <c r="I40" s="53"/>
      <c r="J40" s="192"/>
      <c r="K40" s="193"/>
      <c r="L40" s="194"/>
      <c r="M40" s="195"/>
      <c r="N40" s="128"/>
      <c r="O40" s="192"/>
      <c r="P40" s="193"/>
      <c r="Q40" s="195"/>
      <c r="R40" s="53"/>
      <c r="S40" s="104"/>
      <c r="T40" s="53"/>
      <c r="U40" s="142"/>
      <c r="V40" s="337" t="str">
        <f>O17</f>
        <v>Sparet el indkøb</v>
      </c>
      <c r="W40" s="148"/>
      <c r="X40" s="274">
        <f>'Mellemregning 2'!G8</f>
        <v>30000</v>
      </c>
      <c r="Y40" s="274">
        <f>X40+X40*$C$41</f>
        <v>31500</v>
      </c>
      <c r="Z40" s="274">
        <f aca="true" t="shared" si="118" ref="Z40:AL40">Y40+Y40*$C$41</f>
        <v>33075</v>
      </c>
      <c r="AA40" s="274">
        <f t="shared" si="118"/>
        <v>34728.75</v>
      </c>
      <c r="AB40" s="274">
        <f t="shared" si="118"/>
        <v>36465.1875</v>
      </c>
      <c r="AC40" s="274">
        <f t="shared" si="118"/>
        <v>38288.446875</v>
      </c>
      <c r="AD40" s="274">
        <f t="shared" si="118"/>
        <v>40202.86921875</v>
      </c>
      <c r="AE40" s="274">
        <f t="shared" si="118"/>
        <v>42213.0126796875</v>
      </c>
      <c r="AF40" s="274">
        <f t="shared" si="118"/>
        <v>44323.663313671874</v>
      </c>
      <c r="AG40" s="274">
        <f t="shared" si="118"/>
        <v>46539.84647935547</v>
      </c>
      <c r="AH40" s="274">
        <f t="shared" si="118"/>
        <v>48866.83880332324</v>
      </c>
      <c r="AI40" s="274">
        <f t="shared" si="118"/>
        <v>51310.1807434894</v>
      </c>
      <c r="AJ40" s="274">
        <f t="shared" si="118"/>
        <v>53875.68978066387</v>
      </c>
      <c r="AK40" s="274">
        <f t="shared" si="118"/>
        <v>56569.474269697064</v>
      </c>
      <c r="AL40" s="274">
        <f t="shared" si="118"/>
        <v>59397.94798318192</v>
      </c>
      <c r="AM40" s="144"/>
      <c r="AN40" s="53"/>
      <c r="AO40" s="70">
        <f>SUM(X40:AN40)</f>
        <v>647356.9076468204</v>
      </c>
      <c r="AP40" s="289" t="str">
        <f>V40</f>
        <v>Sparet el indkøb</v>
      </c>
      <c r="AQ40" s="148"/>
      <c r="AR40" s="274">
        <f>'Mellemregning 2'!G24</f>
        <v>28687.5</v>
      </c>
      <c r="AS40" s="274">
        <f aca="true" t="shared" si="119" ref="AS40:BF40">AR40+AR40*$C$41</f>
        <v>30121.875</v>
      </c>
      <c r="AT40" s="274">
        <f t="shared" si="119"/>
        <v>31627.96875</v>
      </c>
      <c r="AU40" s="274">
        <f t="shared" si="119"/>
        <v>33209.3671875</v>
      </c>
      <c r="AV40" s="274">
        <f t="shared" si="119"/>
        <v>34869.835546875</v>
      </c>
      <c r="AW40" s="274">
        <f t="shared" si="119"/>
        <v>36613.32732421875</v>
      </c>
      <c r="AX40" s="274">
        <f t="shared" si="119"/>
        <v>38443.993690429685</v>
      </c>
      <c r="AY40" s="274">
        <f t="shared" si="119"/>
        <v>40366.193374951166</v>
      </c>
      <c r="AZ40" s="274">
        <f t="shared" si="119"/>
        <v>42384.50304369872</v>
      </c>
      <c r="BA40" s="274">
        <f t="shared" si="119"/>
        <v>44503.72819588366</v>
      </c>
      <c r="BB40" s="274">
        <f t="shared" si="119"/>
        <v>46728.91460567784</v>
      </c>
      <c r="BC40" s="274">
        <f t="shared" si="119"/>
        <v>49065.360335961734</v>
      </c>
      <c r="BD40" s="274">
        <f t="shared" si="119"/>
        <v>51518.62835275982</v>
      </c>
      <c r="BE40" s="274">
        <f t="shared" si="119"/>
        <v>54094.55977039781</v>
      </c>
      <c r="BF40" s="274">
        <f t="shared" si="119"/>
        <v>56799.2877589177</v>
      </c>
      <c r="BG40" s="144"/>
      <c r="BI40" s="185">
        <f>SUM(AR40:BH40)</f>
        <v>619035.0429372719</v>
      </c>
      <c r="BJ40" s="289" t="str">
        <f>AP40</f>
        <v>Sparet el indkøb</v>
      </c>
      <c r="BK40" s="148"/>
      <c r="BL40" s="149">
        <f>+$P$17</f>
        <v>30000</v>
      </c>
      <c r="BM40" s="149">
        <f>BL40+BL40*($C$41-2%)</f>
        <v>30900</v>
      </c>
      <c r="BN40" s="149">
        <f>BM40+BM40*($C$41-2%)</f>
        <v>31827</v>
      </c>
      <c r="BO40" s="149">
        <f aca="true" t="shared" si="120" ref="BO40:BZ40">BN40+BN40*($C$41-2%)</f>
        <v>32781.81</v>
      </c>
      <c r="BP40" s="149">
        <f t="shared" si="120"/>
        <v>33765.264299999995</v>
      </c>
      <c r="BQ40" s="149">
        <f t="shared" si="120"/>
        <v>34778.22222899999</v>
      </c>
      <c r="BR40" s="149">
        <f t="shared" si="120"/>
        <v>35821.56889586999</v>
      </c>
      <c r="BS40" s="149">
        <f t="shared" si="120"/>
        <v>36896.21596274609</v>
      </c>
      <c r="BT40" s="149">
        <f t="shared" si="120"/>
        <v>38003.10244162848</v>
      </c>
      <c r="BU40" s="149">
        <f t="shared" si="120"/>
        <v>39143.195514877334</v>
      </c>
      <c r="BV40" s="149">
        <f t="shared" si="120"/>
        <v>40317.491380323656</v>
      </c>
      <c r="BW40" s="149">
        <f t="shared" si="120"/>
        <v>41527.016121733366</v>
      </c>
      <c r="BX40" s="149">
        <f t="shared" si="120"/>
        <v>42772.826605385366</v>
      </c>
      <c r="BY40" s="149">
        <f t="shared" si="120"/>
        <v>44056.01140354693</v>
      </c>
      <c r="BZ40" s="149">
        <f t="shared" si="120"/>
        <v>45377.69174565334</v>
      </c>
      <c r="CA40" s="144"/>
      <c r="CC40" s="185">
        <f>SUM(BL40:CB40)</f>
        <v>557967.4166007645</v>
      </c>
      <c r="CD40" s="147" t="str">
        <f>BJ40</f>
        <v>Sparet el indkøb</v>
      </c>
      <c r="CE40" s="148"/>
      <c r="CF40" s="149">
        <f>'Mellemregning 2'!C8</f>
        <v>30000</v>
      </c>
      <c r="CG40" s="149">
        <f aca="true" t="shared" si="121" ref="CG40:CT40">CF40+CF40*$C$41</f>
        <v>31500</v>
      </c>
      <c r="CH40" s="149">
        <f t="shared" si="121"/>
        <v>33075</v>
      </c>
      <c r="CI40" s="149">
        <f t="shared" si="121"/>
        <v>34728.75</v>
      </c>
      <c r="CJ40" s="149">
        <f t="shared" si="121"/>
        <v>36465.1875</v>
      </c>
      <c r="CK40" s="149">
        <f t="shared" si="121"/>
        <v>38288.446875</v>
      </c>
      <c r="CL40" s="149">
        <f t="shared" si="121"/>
        <v>40202.86921875</v>
      </c>
      <c r="CM40" s="149">
        <f t="shared" si="121"/>
        <v>42213.0126796875</v>
      </c>
      <c r="CN40" s="149">
        <f t="shared" si="121"/>
        <v>44323.663313671874</v>
      </c>
      <c r="CO40" s="149">
        <f t="shared" si="121"/>
        <v>46539.84647935547</v>
      </c>
      <c r="CP40" s="149">
        <f t="shared" si="121"/>
        <v>48866.83880332324</v>
      </c>
      <c r="CQ40" s="149">
        <f t="shared" si="121"/>
        <v>51310.1807434894</v>
      </c>
      <c r="CR40" s="149">
        <f t="shared" si="121"/>
        <v>53875.68978066387</v>
      </c>
      <c r="CS40" s="149">
        <f t="shared" si="121"/>
        <v>56569.474269697064</v>
      </c>
      <c r="CT40" s="149">
        <f t="shared" si="121"/>
        <v>59397.94798318192</v>
      </c>
      <c r="CU40" s="144"/>
      <c r="CX40" s="147" t="str">
        <f>CD40</f>
        <v>Sparet el indkøb</v>
      </c>
      <c r="CY40" s="148"/>
      <c r="CZ40" s="149">
        <f>+$P$17</f>
        <v>30000</v>
      </c>
      <c r="DA40" s="149">
        <f aca="true" t="shared" si="122" ref="DA40:DN40">CZ40+CZ40*$C$41</f>
        <v>31500</v>
      </c>
      <c r="DB40" s="149">
        <f t="shared" si="122"/>
        <v>33075</v>
      </c>
      <c r="DC40" s="149">
        <f t="shared" si="122"/>
        <v>34728.75</v>
      </c>
      <c r="DD40" s="149">
        <f t="shared" si="122"/>
        <v>36465.1875</v>
      </c>
      <c r="DE40" s="149">
        <f t="shared" si="122"/>
        <v>38288.446875</v>
      </c>
      <c r="DF40" s="149">
        <f t="shared" si="122"/>
        <v>40202.86921875</v>
      </c>
      <c r="DG40" s="149">
        <f t="shared" si="122"/>
        <v>42213.0126796875</v>
      </c>
      <c r="DH40" s="149">
        <f t="shared" si="122"/>
        <v>44323.663313671874</v>
      </c>
      <c r="DI40" s="149">
        <f t="shared" si="122"/>
        <v>46539.84647935547</v>
      </c>
      <c r="DJ40" s="149">
        <f t="shared" si="122"/>
        <v>48866.83880332324</v>
      </c>
      <c r="DK40" s="149">
        <f t="shared" si="122"/>
        <v>51310.1807434894</v>
      </c>
      <c r="DL40" s="149">
        <f t="shared" si="122"/>
        <v>53875.68978066387</v>
      </c>
      <c r="DM40" s="149">
        <f t="shared" si="122"/>
        <v>56569.474269697064</v>
      </c>
      <c r="DN40" s="149">
        <f t="shared" si="122"/>
        <v>59397.94798318192</v>
      </c>
      <c r="DO40" s="144"/>
      <c r="DP40" s="53"/>
      <c r="DQ40" s="185">
        <f>SUM(CZ40:DP40)</f>
        <v>647356.9076468204</v>
      </c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</row>
    <row r="41" spans="2:121" ht="20.25" customHeight="1">
      <c r="B41" s="445"/>
      <c r="C41" s="396">
        <v>0.05</v>
      </c>
      <c r="D41" s="106"/>
      <c r="E41" s="106"/>
      <c r="F41" s="106"/>
      <c r="G41" s="107"/>
      <c r="J41" s="196" t="s">
        <v>124</v>
      </c>
      <c r="K41" s="197">
        <f>K61</f>
        <v>-11557.127176454698</v>
      </c>
      <c r="L41" s="198" t="str">
        <f>L39</f>
        <v>kr. i perioden</v>
      </c>
      <c r="M41" s="199"/>
      <c r="N41" s="128"/>
      <c r="O41" s="196" t="s">
        <v>125</v>
      </c>
      <c r="P41" s="197">
        <f>K62</f>
        <v>-11667.84538234095</v>
      </c>
      <c r="Q41" s="199" t="str">
        <f>Q39</f>
        <v>kr. i perioden</v>
      </c>
      <c r="S41" s="104"/>
      <c r="U41" s="142"/>
      <c r="V41" s="290" t="s">
        <v>47</v>
      </c>
      <c r="W41" s="152"/>
      <c r="X41" s="275">
        <f aca="true" t="shared" si="123" ref="X41:AL41">SUM(X38:X40)</f>
        <v>50200</v>
      </c>
      <c r="Y41" s="275">
        <f t="shared" si="123"/>
        <v>46725</v>
      </c>
      <c r="Z41" s="275">
        <f t="shared" si="123"/>
        <v>44496.75</v>
      </c>
      <c r="AA41" s="275">
        <f t="shared" si="123"/>
        <v>43226.01</v>
      </c>
      <c r="AB41" s="275">
        <f t="shared" si="123"/>
        <v>42696.968325</v>
      </c>
      <c r="AC41" s="275">
        <f t="shared" si="123"/>
        <v>42748.940379</v>
      </c>
      <c r="AD41" s="275">
        <f t="shared" si="123"/>
        <v>43262.645500642495</v>
      </c>
      <c r="AE41" s="275">
        <f t="shared" si="123"/>
        <v>44149.917534561595</v>
      </c>
      <c r="AF41" s="275">
        <f t="shared" si="123"/>
        <v>45345.99083595986</v>
      </c>
      <c r="AG41" s="275">
        <f t="shared" si="123"/>
        <v>47553.71800387554</v>
      </c>
      <c r="AH41" s="275">
        <f t="shared" si="123"/>
        <v>49398.69084183412</v>
      </c>
      <c r="AI41" s="275">
        <f t="shared" si="123"/>
        <v>51598.31329211248</v>
      </c>
      <c r="AJ41" s="275">
        <f t="shared" si="123"/>
        <v>53983.152569355654</v>
      </c>
      <c r="AK41" s="275">
        <f t="shared" si="123"/>
        <v>56543.413742429104</v>
      </c>
      <c r="AL41" s="275">
        <f t="shared" si="123"/>
        <v>59273.57113983486</v>
      </c>
      <c r="AM41" s="144"/>
      <c r="AO41" s="70">
        <f>SUM(X41:AN41)</f>
        <v>721203.0821646056</v>
      </c>
      <c r="AP41" s="290" t="s">
        <v>47</v>
      </c>
      <c r="AQ41" s="152"/>
      <c r="AR41" s="275">
        <f aca="true" t="shared" si="124" ref="AR41:BF41">SUM(AR38:AR40)</f>
        <v>47834.375</v>
      </c>
      <c r="AS41" s="275">
        <f t="shared" si="124"/>
        <v>44217.1875</v>
      </c>
      <c r="AT41" s="275">
        <f t="shared" si="124"/>
        <v>41851.125</v>
      </c>
      <c r="AU41" s="275">
        <f t="shared" si="124"/>
        <v>40435.681875</v>
      </c>
      <c r="AV41" s="275">
        <f t="shared" si="124"/>
        <v>39754.70191875</v>
      </c>
      <c r="AW41" s="275">
        <f t="shared" si="124"/>
        <v>39647.1387774375</v>
      </c>
      <c r="AX41" s="275">
        <f t="shared" si="124"/>
        <v>39993.331944001875</v>
      </c>
      <c r="AY41" s="275">
        <f t="shared" si="124"/>
        <v>40704.71642508894</v>
      </c>
      <c r="AZ41" s="275">
        <f t="shared" si="124"/>
        <v>41716.107796013566</v>
      </c>
      <c r="BA41" s="275">
        <f t="shared" si="124"/>
        <v>42979.918936931936</v>
      </c>
      <c r="BB41" s="275">
        <f t="shared" si="124"/>
        <v>45288.46744654333</v>
      </c>
      <c r="BC41" s="275">
        <f t="shared" si="124"/>
        <v>47274.29747705715</v>
      </c>
      <c r="BD41" s="275">
        <f t="shared" si="124"/>
        <v>49434.654713547556</v>
      </c>
      <c r="BE41" s="275">
        <f t="shared" si="124"/>
        <v>51759.2097438306</v>
      </c>
      <c r="BF41" s="275">
        <f t="shared" si="124"/>
        <v>54241.875691306435</v>
      </c>
      <c r="BG41" s="144"/>
      <c r="BI41" s="70">
        <f>SUM(AR41:BF41)</f>
        <v>667132.7902455089</v>
      </c>
      <c r="BJ41" s="290" t="s">
        <v>47</v>
      </c>
      <c r="BK41" s="152"/>
      <c r="BL41" s="153">
        <f aca="true" t="shared" si="125" ref="BL41:BZ41">SUM(BL38:BL40)</f>
        <v>50200</v>
      </c>
      <c r="BM41" s="153">
        <f t="shared" si="125"/>
        <v>46130</v>
      </c>
      <c r="BN41" s="153">
        <f t="shared" si="125"/>
        <v>43259.15</v>
      </c>
      <c r="BO41" s="153">
        <f t="shared" si="125"/>
        <v>41295.294499999996</v>
      </c>
      <c r="BP41" s="153">
        <f t="shared" si="125"/>
        <v>40019.54448499999</v>
      </c>
      <c r="BQ41" s="153">
        <f t="shared" si="125"/>
        <v>39267.96760504999</v>
      </c>
      <c r="BR41" s="153">
        <f t="shared" si="125"/>
        <v>38917.85601378649</v>
      </c>
      <c r="BS41" s="153">
        <f t="shared" si="125"/>
        <v>38877.42745692804</v>
      </c>
      <c r="BT41" s="153">
        <f t="shared" si="125"/>
        <v>39078.10130451683</v>
      </c>
      <c r="BU41" s="153">
        <f t="shared" si="125"/>
        <v>39468.705797434726</v>
      </c>
      <c r="BV41" s="153">
        <f t="shared" si="125"/>
        <v>40920.587980692864</v>
      </c>
      <c r="BW41" s="153">
        <f t="shared" si="125"/>
        <v>41896.67504220441</v>
      </c>
      <c r="BX41" s="153">
        <f t="shared" si="125"/>
        <v>42972.813253871136</v>
      </c>
      <c r="BY41" s="153">
        <f t="shared" si="125"/>
        <v>44134.22973349688</v>
      </c>
      <c r="BZ41" s="153">
        <f t="shared" si="125"/>
        <v>45370.15037095235</v>
      </c>
      <c r="CA41" s="144"/>
      <c r="CC41" s="70">
        <f>SUM(BL41:CB41)</f>
        <v>631808.5035439337</v>
      </c>
      <c r="CD41" s="151" t="s">
        <v>47</v>
      </c>
      <c r="CE41" s="152"/>
      <c r="CF41" s="153">
        <f aca="true" t="shared" si="126" ref="CF41:CT41">SUM(CF38:CF40)</f>
        <v>49487.5</v>
      </c>
      <c r="CG41" s="153">
        <f t="shared" si="126"/>
        <v>46087.5</v>
      </c>
      <c r="CH41" s="153">
        <f t="shared" si="126"/>
        <v>43934.25</v>
      </c>
      <c r="CI41" s="153">
        <f t="shared" si="126"/>
        <v>42738.51</v>
      </c>
      <c r="CJ41" s="153">
        <f t="shared" si="126"/>
        <v>42284.468325</v>
      </c>
      <c r="CK41" s="153">
        <f t="shared" si="126"/>
        <v>42411.440379</v>
      </c>
      <c r="CL41" s="153">
        <f t="shared" si="126"/>
        <v>43000.145500642495</v>
      </c>
      <c r="CM41" s="153">
        <f t="shared" si="126"/>
        <v>43962.417534561595</v>
      </c>
      <c r="CN41" s="153">
        <f t="shared" si="126"/>
        <v>45233.49083595986</v>
      </c>
      <c r="CO41" s="153">
        <f t="shared" si="126"/>
        <v>46766.21800387554</v>
      </c>
      <c r="CP41" s="153">
        <f t="shared" si="126"/>
        <v>49398.69084183412</v>
      </c>
      <c r="CQ41" s="153">
        <f t="shared" si="126"/>
        <v>51598.31329211248</v>
      </c>
      <c r="CR41" s="153">
        <f t="shared" si="126"/>
        <v>53983.152569355654</v>
      </c>
      <c r="CS41" s="153">
        <f t="shared" si="126"/>
        <v>56543.413742429104</v>
      </c>
      <c r="CT41" s="153">
        <f t="shared" si="126"/>
        <v>59273.57113983486</v>
      </c>
      <c r="CU41" s="144"/>
      <c r="CX41" s="151" t="s">
        <v>47</v>
      </c>
      <c r="CY41" s="152"/>
      <c r="CZ41" s="153">
        <f aca="true" t="shared" si="127" ref="CZ41:DN41">SUM(CZ38:CZ40)</f>
        <v>49732.5</v>
      </c>
      <c r="DA41" s="153">
        <f t="shared" si="127"/>
        <v>46357.5</v>
      </c>
      <c r="DB41" s="153">
        <f t="shared" si="127"/>
        <v>44230.5</v>
      </c>
      <c r="DC41" s="153">
        <f t="shared" si="127"/>
        <v>43062.3225</v>
      </c>
      <c r="DD41" s="153">
        <f t="shared" si="127"/>
        <v>42637.22145</v>
      </c>
      <c r="DE41" s="153">
        <f t="shared" si="127"/>
        <v>42794.58116025</v>
      </c>
      <c r="DF41" s="153">
        <f t="shared" si="127"/>
        <v>43415.193320955</v>
      </c>
      <c r="DG41" s="153">
        <f t="shared" si="127"/>
        <v>44410.96774588972</v>
      </c>
      <c r="DH41" s="153">
        <f t="shared" si="127"/>
        <v>45717.218557854394</v>
      </c>
      <c r="DI41" s="153">
        <f t="shared" si="127"/>
        <v>47286.8821118648</v>
      </c>
      <c r="DJ41" s="153">
        <f t="shared" si="127"/>
        <v>50043.13815522284</v>
      </c>
      <c r="DK41" s="153">
        <f t="shared" si="127"/>
        <v>52283.48297117064</v>
      </c>
      <c r="DL41" s="153">
        <f t="shared" si="127"/>
        <v>54711.08073236672</v>
      </c>
      <c r="DM41" s="153">
        <f t="shared" si="127"/>
        <v>57316.238313590715</v>
      </c>
      <c r="DN41" s="153">
        <f t="shared" si="127"/>
        <v>60093.53693955456</v>
      </c>
      <c r="DO41" s="144"/>
      <c r="DQ41" s="70">
        <f>SUM(CZ41:DP41)</f>
        <v>724092.3639587197</v>
      </c>
    </row>
    <row r="42" spans="2:121" ht="13.5" customHeight="1">
      <c r="B42" s="397"/>
      <c r="C42" s="401"/>
      <c r="D42" s="401"/>
      <c r="E42" s="401"/>
      <c r="F42" s="106"/>
      <c r="G42" s="107"/>
      <c r="J42" s="196"/>
      <c r="K42" s="197"/>
      <c r="L42" s="198"/>
      <c r="M42" s="199"/>
      <c r="N42" s="128"/>
      <c r="O42" s="196"/>
      <c r="P42" s="197"/>
      <c r="Q42" s="199"/>
      <c r="S42" s="104"/>
      <c r="U42" s="142"/>
      <c r="V42" s="429" t="s">
        <v>104</v>
      </c>
      <c r="W42" s="430"/>
      <c r="X42" s="276">
        <f>X21</f>
        <v>-44800</v>
      </c>
      <c r="Y42" s="276">
        <f aca="true" t="shared" si="128" ref="Y42:AL42">Y21</f>
        <v>-43650</v>
      </c>
      <c r="Z42" s="276">
        <f t="shared" si="128"/>
        <v>-42499.5</v>
      </c>
      <c r="AA42" s="276">
        <f t="shared" si="128"/>
        <v>-41348.415</v>
      </c>
      <c r="AB42" s="276">
        <f t="shared" si="128"/>
        <v>-40196.65455</v>
      </c>
      <c r="AC42" s="276">
        <f t="shared" si="128"/>
        <v>-39044.1224535</v>
      </c>
      <c r="AD42" s="276">
        <f t="shared" si="128"/>
        <v>-37890.716455695</v>
      </c>
      <c r="AE42" s="276">
        <f t="shared" si="128"/>
        <v>-36736.327915590155</v>
      </c>
      <c r="AF42" s="276">
        <f t="shared" si="128"/>
        <v>-35580.84146122227</v>
      </c>
      <c r="AG42" s="276">
        <f t="shared" si="128"/>
        <v>-34424.13462713304</v>
      </c>
      <c r="AH42" s="276">
        <f t="shared" si="128"/>
        <v>-4066.0774731963447</v>
      </c>
      <c r="AI42" s="276">
        <f t="shared" si="128"/>
        <v>-4106.532183856949</v>
      </c>
      <c r="AJ42" s="276">
        <f t="shared" si="128"/>
        <v>-4145.352646790598</v>
      </c>
      <c r="AK42" s="276">
        <f t="shared" si="128"/>
        <v>-4182.384009945747</v>
      </c>
      <c r="AL42" s="276">
        <f t="shared" si="128"/>
        <v>-4217.462215874964</v>
      </c>
      <c r="AM42" s="144"/>
      <c r="AP42" s="429" t="s">
        <v>104</v>
      </c>
      <c r="AQ42" s="430"/>
      <c r="AR42" s="276">
        <f>AR21</f>
        <v>-45487.5</v>
      </c>
      <c r="AS42" s="276">
        <f aca="true" t="shared" si="129" ref="AS42:BF42">AS21</f>
        <v>-44295.9375</v>
      </c>
      <c r="AT42" s="276">
        <f t="shared" si="129"/>
        <v>-43147.734375</v>
      </c>
      <c r="AU42" s="276">
        <f t="shared" si="129"/>
        <v>-41999.06109375</v>
      </c>
      <c r="AV42" s="276">
        <f t="shared" si="129"/>
        <v>-40849.8329484375</v>
      </c>
      <c r="AW42" s="276">
        <f t="shared" si="129"/>
        <v>-39699.95977185937</v>
      </c>
      <c r="AX42" s="276">
        <f t="shared" si="129"/>
        <v>-38549.34563997234</v>
      </c>
      <c r="AY42" s="276">
        <f t="shared" si="129"/>
        <v>-37397.88855908136</v>
      </c>
      <c r="AZ42" s="276">
        <f t="shared" si="129"/>
        <v>-36245.480136888036</v>
      </c>
      <c r="BA42" s="276">
        <f t="shared" si="129"/>
        <v>-35092.0052365821</v>
      </c>
      <c r="BB42" s="276">
        <f t="shared" si="129"/>
        <v>-4537.341613117858</v>
      </c>
      <c r="BC42" s="276">
        <f t="shared" si="129"/>
        <v>-4581.359530774537</v>
      </c>
      <c r="BD42" s="276">
        <f t="shared" si="129"/>
        <v>-4623.9213610540655</v>
      </c>
      <c r="BE42" s="276">
        <f t="shared" si="129"/>
        <v>-4664.881159922387</v>
      </c>
      <c r="BF42" s="276">
        <f t="shared" si="129"/>
        <v>-4704.084223350437</v>
      </c>
      <c r="BG42" s="144"/>
      <c r="BJ42" s="429" t="s">
        <v>104</v>
      </c>
      <c r="BK42" s="430"/>
      <c r="BL42" s="154">
        <f>BL21</f>
        <v>-44800</v>
      </c>
      <c r="BM42" s="154">
        <f aca="true" t="shared" si="130" ref="BM42:BZ42">BM21</f>
        <v>-43670</v>
      </c>
      <c r="BN42" s="154">
        <f t="shared" si="130"/>
        <v>-42541.1</v>
      </c>
      <c r="BO42" s="154">
        <f t="shared" si="130"/>
        <v>-41413.312999999995</v>
      </c>
      <c r="BP42" s="154">
        <f t="shared" si="130"/>
        <v>-40286.65199</v>
      </c>
      <c r="BQ42" s="154">
        <f t="shared" si="130"/>
        <v>-39161.1299417</v>
      </c>
      <c r="BR42" s="154">
        <f t="shared" si="130"/>
        <v>-38036.759799791</v>
      </c>
      <c r="BS42" s="154">
        <f t="shared" si="130"/>
        <v>-36913.55447282153</v>
      </c>
      <c r="BT42" s="154">
        <f t="shared" si="130"/>
        <v>-35791.52682362371</v>
      </c>
      <c r="BU42" s="154">
        <f t="shared" si="130"/>
        <v>-34670.68965928231</v>
      </c>
      <c r="BV42" s="154">
        <f t="shared" si="130"/>
        <v>-4351.0557206296635</v>
      </c>
      <c r="BW42" s="154">
        <f t="shared" si="130"/>
        <v>-4432.637671248816</v>
      </c>
      <c r="BX42" s="154">
        <f t="shared" si="130"/>
        <v>-4515.448085966547</v>
      </c>
      <c r="BY42" s="154">
        <f t="shared" si="130"/>
        <v>-4599.499438817417</v>
      </c>
      <c r="BZ42" s="154">
        <f t="shared" si="130"/>
        <v>-4684.80409045925</v>
      </c>
      <c r="CA42" s="144"/>
      <c r="CC42" s="70">
        <f>SUM(BL42:CB42)</f>
        <v>-419868.1706943402</v>
      </c>
      <c r="CD42" s="430" t="s">
        <v>104</v>
      </c>
      <c r="CE42" s="430"/>
      <c r="CF42" s="154">
        <f>CF21</f>
        <v>-41950</v>
      </c>
      <c r="CG42" s="154">
        <f aca="true" t="shared" si="131" ref="CG42:CT42">CG21</f>
        <v>-41100</v>
      </c>
      <c r="CH42" s="154">
        <f t="shared" si="131"/>
        <v>-40249.5</v>
      </c>
      <c r="CI42" s="154">
        <f t="shared" si="131"/>
        <v>-39398.415</v>
      </c>
      <c r="CJ42" s="154">
        <f t="shared" si="131"/>
        <v>-38546.65455</v>
      </c>
      <c r="CK42" s="154">
        <f t="shared" si="131"/>
        <v>-37694.1224535</v>
      </c>
      <c r="CL42" s="154">
        <f t="shared" si="131"/>
        <v>-36840.716455695</v>
      </c>
      <c r="CM42" s="154">
        <f t="shared" si="131"/>
        <v>-35986.327915590155</v>
      </c>
      <c r="CN42" s="154">
        <f t="shared" si="131"/>
        <v>-35130.84146122227</v>
      </c>
      <c r="CO42" s="154">
        <f t="shared" si="131"/>
        <v>-34274.13462713304</v>
      </c>
      <c r="CP42" s="154">
        <f t="shared" si="131"/>
        <v>-4066.0774731963447</v>
      </c>
      <c r="CQ42" s="154">
        <f t="shared" si="131"/>
        <v>-4106.532183856949</v>
      </c>
      <c r="CR42" s="154">
        <f t="shared" si="131"/>
        <v>-4145.352646790598</v>
      </c>
      <c r="CS42" s="154">
        <f t="shared" si="131"/>
        <v>-4182.384009945747</v>
      </c>
      <c r="CT42" s="154">
        <f t="shared" si="131"/>
        <v>-4217.462215874964</v>
      </c>
      <c r="CU42" s="144"/>
      <c r="CX42" s="430" t="s">
        <v>104</v>
      </c>
      <c r="CY42" s="430"/>
      <c r="CZ42" s="154">
        <f>CZ21</f>
        <v>-42930</v>
      </c>
      <c r="DA42" s="154">
        <f aca="true" t="shared" si="132" ref="DA42:DN42">DA21</f>
        <v>-42180</v>
      </c>
      <c r="DB42" s="154">
        <f t="shared" si="132"/>
        <v>-41434.5</v>
      </c>
      <c r="DC42" s="154">
        <f t="shared" si="132"/>
        <v>-40693.665</v>
      </c>
      <c r="DD42" s="154">
        <f t="shared" si="132"/>
        <v>-39957.667050000004</v>
      </c>
      <c r="DE42" s="154">
        <f t="shared" si="132"/>
        <v>-39226.6855785</v>
      </c>
      <c r="DF42" s="154">
        <f t="shared" si="132"/>
        <v>-38500.907736945</v>
      </c>
      <c r="DG42" s="154">
        <f t="shared" si="132"/>
        <v>-37780.52876090265</v>
      </c>
      <c r="DH42" s="154">
        <f t="shared" si="132"/>
        <v>-37065.75234880039</v>
      </c>
      <c r="DI42" s="154">
        <f t="shared" si="132"/>
        <v>-36356.79105909007</v>
      </c>
      <c r="DJ42" s="154">
        <f t="shared" si="132"/>
        <v>-6643.866726751226</v>
      </c>
      <c r="DK42" s="154">
        <f t="shared" si="132"/>
        <v>-6847.210900089574</v>
      </c>
      <c r="DL42" s="154">
        <f t="shared" si="132"/>
        <v>-7057.065298834856</v>
      </c>
      <c r="DM42" s="154">
        <f t="shared" si="132"/>
        <v>-7273.682294592218</v>
      </c>
      <c r="DN42" s="154">
        <f t="shared" si="132"/>
        <v>-7497.325414753759</v>
      </c>
      <c r="DO42" s="144"/>
      <c r="DQ42" s="70">
        <f>SUM(CZ42:DP42)</f>
        <v>-431445.6481692598</v>
      </c>
    </row>
    <row r="43" spans="2:121" ht="18" customHeight="1">
      <c r="B43" s="389" t="s">
        <v>38</v>
      </c>
      <c r="C43" s="396">
        <v>0.25</v>
      </c>
      <c r="D43" s="106"/>
      <c r="E43" s="106"/>
      <c r="F43" s="106"/>
      <c r="G43" s="107"/>
      <c r="J43" s="196" t="s">
        <v>118</v>
      </c>
      <c r="K43" s="197">
        <f>K65</f>
        <v>20.350298464822117</v>
      </c>
      <c r="L43" s="197" t="str">
        <f>L41</f>
        <v>kr. i perioden</v>
      </c>
      <c r="M43" s="200"/>
      <c r="N43" s="187"/>
      <c r="O43" s="196" t="str">
        <f>J43</f>
        <v>-2 % mindre stigning elpris</v>
      </c>
      <c r="P43" s="197">
        <f>K66</f>
        <v>-92374.22832220711</v>
      </c>
      <c r="Q43" s="199" t="str">
        <f>Q41</f>
        <v>kr. i perioden</v>
      </c>
      <c r="S43" s="104"/>
      <c r="U43" s="142"/>
      <c r="V43" s="290" t="s">
        <v>105</v>
      </c>
      <c r="W43" s="152"/>
      <c r="X43" s="275">
        <f>X41+X42</f>
        <v>5400</v>
      </c>
      <c r="Y43" s="275">
        <f aca="true" t="shared" si="133" ref="Y43:AL43">Y41+Y42</f>
        <v>3075</v>
      </c>
      <c r="Z43" s="275">
        <f t="shared" si="133"/>
        <v>1997.25</v>
      </c>
      <c r="AA43" s="275">
        <f t="shared" si="133"/>
        <v>1877.5950000000012</v>
      </c>
      <c r="AB43" s="275">
        <f t="shared" si="133"/>
        <v>2500.3137750000024</v>
      </c>
      <c r="AC43" s="275">
        <f t="shared" si="133"/>
        <v>3704.8179254999995</v>
      </c>
      <c r="AD43" s="275">
        <f t="shared" si="133"/>
        <v>5371.929044947494</v>
      </c>
      <c r="AE43" s="275">
        <f t="shared" si="133"/>
        <v>7413.58961897144</v>
      </c>
      <c r="AF43" s="275">
        <f t="shared" si="133"/>
        <v>9765.149374737593</v>
      </c>
      <c r="AG43" s="275">
        <f t="shared" si="133"/>
        <v>13129.5833767425</v>
      </c>
      <c r="AH43" s="275">
        <f t="shared" si="133"/>
        <v>45332.61336863777</v>
      </c>
      <c r="AI43" s="275">
        <f t="shared" si="133"/>
        <v>47491.78110825553</v>
      </c>
      <c r="AJ43" s="275">
        <f t="shared" si="133"/>
        <v>49837.79992256506</v>
      </c>
      <c r="AK43" s="275">
        <f t="shared" si="133"/>
        <v>52361.02973248336</v>
      </c>
      <c r="AL43" s="275">
        <f t="shared" si="133"/>
        <v>55056.108923959895</v>
      </c>
      <c r="AM43" s="144"/>
      <c r="AO43" s="70">
        <f>SUM(X43:AN43)</f>
        <v>304314.5611718006</v>
      </c>
      <c r="AP43" s="290" t="s">
        <v>105</v>
      </c>
      <c r="AQ43" s="152"/>
      <c r="AR43" s="275">
        <f>AR41+AR42</f>
        <v>2346.875</v>
      </c>
      <c r="AS43" s="275">
        <f aca="true" t="shared" si="134" ref="AS43:BF43">AS41+AS42</f>
        <v>-78.75</v>
      </c>
      <c r="AT43" s="275">
        <f t="shared" si="134"/>
        <v>-1296.609375</v>
      </c>
      <c r="AU43" s="275">
        <f t="shared" si="134"/>
        <v>-1563.3792187500003</v>
      </c>
      <c r="AV43" s="275">
        <f t="shared" si="134"/>
        <v>-1095.1310296875017</v>
      </c>
      <c r="AW43" s="275">
        <f t="shared" si="134"/>
        <v>-52.82099442186882</v>
      </c>
      <c r="AX43" s="275">
        <f t="shared" si="134"/>
        <v>1443.9863040295313</v>
      </c>
      <c r="AY43" s="275">
        <f t="shared" si="134"/>
        <v>3306.827866007581</v>
      </c>
      <c r="AZ43" s="275">
        <f t="shared" si="134"/>
        <v>5470.62765912553</v>
      </c>
      <c r="BA43" s="275">
        <f t="shared" si="134"/>
        <v>7887.913700349833</v>
      </c>
      <c r="BB43" s="275">
        <f t="shared" si="134"/>
        <v>40751.12583342547</v>
      </c>
      <c r="BC43" s="275">
        <f t="shared" si="134"/>
        <v>42692.93794628262</v>
      </c>
      <c r="BD43" s="275">
        <f t="shared" si="134"/>
        <v>44810.73335249349</v>
      </c>
      <c r="BE43" s="275">
        <f t="shared" si="134"/>
        <v>47094.32858390822</v>
      </c>
      <c r="BF43" s="275">
        <f t="shared" si="134"/>
        <v>49537.791467956</v>
      </c>
      <c r="BG43" s="144"/>
      <c r="BI43" s="70">
        <f>SUM(AR43:BH43)</f>
        <v>241256.45709571888</v>
      </c>
      <c r="BJ43" s="303" t="s">
        <v>105</v>
      </c>
      <c r="BK43" s="183"/>
      <c r="BL43" s="184">
        <f>BL41+BL42</f>
        <v>5400</v>
      </c>
      <c r="BM43" s="184">
        <f aca="true" t="shared" si="135" ref="BM43:BZ43">BM41+BM42</f>
        <v>2460</v>
      </c>
      <c r="BN43" s="184">
        <f t="shared" si="135"/>
        <v>718.0500000000029</v>
      </c>
      <c r="BO43" s="184">
        <f t="shared" si="135"/>
        <v>-118.01849999999831</v>
      </c>
      <c r="BP43" s="184">
        <f t="shared" si="135"/>
        <v>-267.1075050000072</v>
      </c>
      <c r="BQ43" s="184">
        <f t="shared" si="135"/>
        <v>106.83766334999382</v>
      </c>
      <c r="BR43" s="184">
        <f t="shared" si="135"/>
        <v>881.0962139954936</v>
      </c>
      <c r="BS43" s="184">
        <f t="shared" si="135"/>
        <v>1963.872984106507</v>
      </c>
      <c r="BT43" s="184">
        <f t="shared" si="135"/>
        <v>3286.5744808931195</v>
      </c>
      <c r="BU43" s="184">
        <f t="shared" si="135"/>
        <v>4798.016138152416</v>
      </c>
      <c r="BV43" s="184">
        <f t="shared" si="135"/>
        <v>36569.5322600632</v>
      </c>
      <c r="BW43" s="184">
        <f t="shared" si="135"/>
        <v>37464.0373709556</v>
      </c>
      <c r="BX43" s="184">
        <f t="shared" si="135"/>
        <v>38457.36516790459</v>
      </c>
      <c r="BY43" s="184">
        <f t="shared" si="135"/>
        <v>39534.730294679466</v>
      </c>
      <c r="BZ43" s="184">
        <f t="shared" si="135"/>
        <v>40685.346280493104</v>
      </c>
      <c r="CA43" s="144"/>
      <c r="CC43" s="70">
        <f>SUM(BL43:CB43)</f>
        <v>211940.33284959348</v>
      </c>
      <c r="CD43" s="151" t="s">
        <v>105</v>
      </c>
      <c r="CE43" s="152"/>
      <c r="CF43" s="153">
        <f>CF41+CF42</f>
        <v>7537.5</v>
      </c>
      <c r="CG43" s="153">
        <f aca="true" t="shared" si="136" ref="CG43:CT43">CG41+CG42</f>
        <v>4987.5</v>
      </c>
      <c r="CH43" s="153">
        <f t="shared" si="136"/>
        <v>3684.75</v>
      </c>
      <c r="CI43" s="153">
        <f t="shared" si="136"/>
        <v>3340.095000000001</v>
      </c>
      <c r="CJ43" s="153">
        <f t="shared" si="136"/>
        <v>3737.8137750000024</v>
      </c>
      <c r="CK43" s="153">
        <f t="shared" si="136"/>
        <v>4717.3179255</v>
      </c>
      <c r="CL43" s="153">
        <f t="shared" si="136"/>
        <v>6159.429044947494</v>
      </c>
      <c r="CM43" s="153">
        <f t="shared" si="136"/>
        <v>7976.08961897144</v>
      </c>
      <c r="CN43" s="153">
        <f t="shared" si="136"/>
        <v>10102.649374737593</v>
      </c>
      <c r="CO43" s="153">
        <f t="shared" si="136"/>
        <v>12492.0833767425</v>
      </c>
      <c r="CP43" s="153">
        <f t="shared" si="136"/>
        <v>45332.61336863777</v>
      </c>
      <c r="CQ43" s="153">
        <f t="shared" si="136"/>
        <v>47491.78110825553</v>
      </c>
      <c r="CR43" s="153">
        <f t="shared" si="136"/>
        <v>49837.79992256506</v>
      </c>
      <c r="CS43" s="153">
        <f t="shared" si="136"/>
        <v>52361.02973248336</v>
      </c>
      <c r="CT43" s="153">
        <f t="shared" si="136"/>
        <v>55056.108923959895</v>
      </c>
      <c r="CU43" s="144"/>
      <c r="CW43" s="70">
        <f>SUM(CF43:CV43)</f>
        <v>314814.5611718006</v>
      </c>
      <c r="CX43" s="151" t="s">
        <v>105</v>
      </c>
      <c r="CY43" s="152"/>
      <c r="CZ43" s="153">
        <f>CZ41+CZ42</f>
        <v>6802.5</v>
      </c>
      <c r="DA43" s="153">
        <f aca="true" t="shared" si="137" ref="DA43:DN43">DA41+DA42</f>
        <v>4177.5</v>
      </c>
      <c r="DB43" s="153">
        <f t="shared" si="137"/>
        <v>2796</v>
      </c>
      <c r="DC43" s="153">
        <f t="shared" si="137"/>
        <v>2368.657500000001</v>
      </c>
      <c r="DD43" s="153">
        <f t="shared" si="137"/>
        <v>2679.5543999999936</v>
      </c>
      <c r="DE43" s="153">
        <f t="shared" si="137"/>
        <v>3567.8955817500027</v>
      </c>
      <c r="DF43" s="153">
        <f t="shared" si="137"/>
        <v>4914.285584009995</v>
      </c>
      <c r="DG43" s="153">
        <f t="shared" si="137"/>
        <v>6630.438984987071</v>
      </c>
      <c r="DH43" s="153">
        <f t="shared" si="137"/>
        <v>8651.466209054</v>
      </c>
      <c r="DI43" s="153">
        <f t="shared" si="137"/>
        <v>10930.091052774726</v>
      </c>
      <c r="DJ43" s="153">
        <f t="shared" si="137"/>
        <v>43399.27142847161</v>
      </c>
      <c r="DK43" s="153">
        <f t="shared" si="137"/>
        <v>45436.27207108107</v>
      </c>
      <c r="DL43" s="153">
        <f t="shared" si="137"/>
        <v>47654.015433531866</v>
      </c>
      <c r="DM43" s="153">
        <f t="shared" si="137"/>
        <v>50042.5560189985</v>
      </c>
      <c r="DN43" s="153">
        <f t="shared" si="137"/>
        <v>52596.2115248008</v>
      </c>
      <c r="DO43" s="144"/>
      <c r="DQ43" s="70">
        <f>SUM(CZ43:DP43)</f>
        <v>292646.71578945965</v>
      </c>
    </row>
    <row r="44" spans="1:121" ht="23.25" customHeight="1" thickBot="1">
      <c r="A44" s="150"/>
      <c r="B44" s="389" t="s">
        <v>7</v>
      </c>
      <c r="C44" s="106"/>
      <c r="D44" s="106"/>
      <c r="E44" s="106"/>
      <c r="F44" s="106"/>
      <c r="G44" s="107"/>
      <c r="I44" s="150"/>
      <c r="J44" s="196"/>
      <c r="K44" s="197"/>
      <c r="L44" s="197"/>
      <c r="M44" s="200"/>
      <c r="N44" s="187"/>
      <c r="O44" s="196"/>
      <c r="P44" s="197"/>
      <c r="Q44" s="199"/>
      <c r="S44" s="122"/>
      <c r="U44" s="142"/>
      <c r="V44" s="381" t="s">
        <v>65</v>
      </c>
      <c r="W44" s="158"/>
      <c r="X44" s="277">
        <f>X43</f>
        <v>5400</v>
      </c>
      <c r="Y44" s="277">
        <f>Y43+X44</f>
        <v>8475</v>
      </c>
      <c r="Z44" s="277">
        <f>Z43+Y44</f>
        <v>10472.25</v>
      </c>
      <c r="AA44" s="277">
        <f>AA43+Z44</f>
        <v>12349.845000000001</v>
      </c>
      <c r="AB44" s="277">
        <f aca="true" t="shared" si="138" ref="AB44:AL44">AB43+AA44</f>
        <v>14850.158775000004</v>
      </c>
      <c r="AC44" s="277">
        <f t="shared" si="138"/>
        <v>18554.976700500003</v>
      </c>
      <c r="AD44" s="277">
        <f t="shared" si="138"/>
        <v>23926.905745447497</v>
      </c>
      <c r="AE44" s="277">
        <f t="shared" si="138"/>
        <v>31340.495364418937</v>
      </c>
      <c r="AF44" s="277">
        <f t="shared" si="138"/>
        <v>41105.64473915653</v>
      </c>
      <c r="AG44" s="277">
        <f t="shared" si="138"/>
        <v>54235.22811589903</v>
      </c>
      <c r="AH44" s="277">
        <f t="shared" si="138"/>
        <v>99567.8414845368</v>
      </c>
      <c r="AI44" s="277">
        <f t="shared" si="138"/>
        <v>147059.62259279232</v>
      </c>
      <c r="AJ44" s="277">
        <f t="shared" si="138"/>
        <v>196897.42251535738</v>
      </c>
      <c r="AK44" s="277">
        <f t="shared" si="138"/>
        <v>249258.45224784073</v>
      </c>
      <c r="AL44" s="277">
        <f t="shared" si="138"/>
        <v>304314.5611718006</v>
      </c>
      <c r="AM44" s="144"/>
      <c r="AP44" s="291" t="s">
        <v>65</v>
      </c>
      <c r="AQ44" s="158"/>
      <c r="AR44" s="277">
        <f>AR43</f>
        <v>2346.875</v>
      </c>
      <c r="AS44" s="277">
        <f>AS43+AR44</f>
        <v>2268.125</v>
      </c>
      <c r="AT44" s="277">
        <f aca="true" t="shared" si="139" ref="AT44:BF44">AT43+AS44</f>
        <v>971.515625</v>
      </c>
      <c r="AU44" s="277">
        <f t="shared" si="139"/>
        <v>-591.8635937500003</v>
      </c>
      <c r="AV44" s="277">
        <f t="shared" si="139"/>
        <v>-1686.994623437502</v>
      </c>
      <c r="AW44" s="277">
        <f t="shared" si="139"/>
        <v>-1739.8156178593708</v>
      </c>
      <c r="AX44" s="277">
        <f t="shared" si="139"/>
        <v>-295.8293138298395</v>
      </c>
      <c r="AY44" s="277">
        <f t="shared" si="139"/>
        <v>3010.9985521777417</v>
      </c>
      <c r="AZ44" s="277">
        <f t="shared" si="139"/>
        <v>8481.626211303272</v>
      </c>
      <c r="BA44" s="277">
        <f t="shared" si="139"/>
        <v>16369.539911653104</v>
      </c>
      <c r="BB44" s="277">
        <f t="shared" si="139"/>
        <v>57120.66574507857</v>
      </c>
      <c r="BC44" s="277">
        <f t="shared" si="139"/>
        <v>99813.60369136119</v>
      </c>
      <c r="BD44" s="277">
        <f t="shared" si="139"/>
        <v>144624.33704385467</v>
      </c>
      <c r="BE44" s="277">
        <f t="shared" si="139"/>
        <v>191718.66562776288</v>
      </c>
      <c r="BF44" s="277">
        <f t="shared" si="139"/>
        <v>241256.45709571888</v>
      </c>
      <c r="BG44" s="144"/>
      <c r="BJ44" s="291" t="s">
        <v>65</v>
      </c>
      <c r="BK44" s="158"/>
      <c r="BL44" s="159">
        <f>BL43</f>
        <v>5400</v>
      </c>
      <c r="BM44" s="159">
        <f aca="true" t="shared" si="140" ref="BM44:BZ44">BM43+BL44</f>
        <v>7860</v>
      </c>
      <c r="BN44" s="159">
        <f t="shared" si="140"/>
        <v>8578.050000000003</v>
      </c>
      <c r="BO44" s="159">
        <f t="shared" si="140"/>
        <v>8460.031500000005</v>
      </c>
      <c r="BP44" s="159">
        <f t="shared" si="140"/>
        <v>8192.923994999997</v>
      </c>
      <c r="BQ44" s="159">
        <f t="shared" si="140"/>
        <v>8299.761658349991</v>
      </c>
      <c r="BR44" s="159">
        <f t="shared" si="140"/>
        <v>9180.857872345485</v>
      </c>
      <c r="BS44" s="159">
        <f t="shared" si="140"/>
        <v>11144.730856451992</v>
      </c>
      <c r="BT44" s="159">
        <f t="shared" si="140"/>
        <v>14431.305337345111</v>
      </c>
      <c r="BU44" s="159">
        <f t="shared" si="140"/>
        <v>19229.321475497527</v>
      </c>
      <c r="BV44" s="159">
        <f t="shared" si="140"/>
        <v>55798.853735560726</v>
      </c>
      <c r="BW44" s="159">
        <f t="shared" si="140"/>
        <v>93262.89110651633</v>
      </c>
      <c r="BX44" s="159">
        <f t="shared" si="140"/>
        <v>131720.2562744209</v>
      </c>
      <c r="BY44" s="159">
        <f t="shared" si="140"/>
        <v>171254.98656910038</v>
      </c>
      <c r="BZ44" s="159">
        <f t="shared" si="140"/>
        <v>211940.33284959348</v>
      </c>
      <c r="CA44" s="144"/>
      <c r="CD44" s="157" t="s">
        <v>65</v>
      </c>
      <c r="CE44" s="158"/>
      <c r="CF44" s="159">
        <f>CF43</f>
        <v>7537.5</v>
      </c>
      <c r="CG44" s="159">
        <f aca="true" t="shared" si="141" ref="CG44:CT44">CG43+CF44</f>
        <v>12525</v>
      </c>
      <c r="CH44" s="159">
        <f t="shared" si="141"/>
        <v>16209.75</v>
      </c>
      <c r="CI44" s="159">
        <f t="shared" si="141"/>
        <v>19549.845</v>
      </c>
      <c r="CJ44" s="159">
        <f t="shared" si="141"/>
        <v>23287.658775000004</v>
      </c>
      <c r="CK44" s="159">
        <f t="shared" si="141"/>
        <v>28004.976700500003</v>
      </c>
      <c r="CL44" s="159">
        <f t="shared" si="141"/>
        <v>34164.4057454475</v>
      </c>
      <c r="CM44" s="159">
        <f t="shared" si="141"/>
        <v>42140.49536441894</v>
      </c>
      <c r="CN44" s="159">
        <f t="shared" si="141"/>
        <v>52243.14473915653</v>
      </c>
      <c r="CO44" s="159">
        <f t="shared" si="141"/>
        <v>64735.22811589903</v>
      </c>
      <c r="CP44" s="159">
        <f t="shared" si="141"/>
        <v>110067.8414845368</v>
      </c>
      <c r="CQ44" s="159">
        <f t="shared" si="141"/>
        <v>157559.62259279232</v>
      </c>
      <c r="CR44" s="159">
        <f t="shared" si="141"/>
        <v>207397.42251535738</v>
      </c>
      <c r="CS44" s="159">
        <f t="shared" si="141"/>
        <v>259758.45224784073</v>
      </c>
      <c r="CT44" s="159">
        <f t="shared" si="141"/>
        <v>314814.5611718006</v>
      </c>
      <c r="CU44" s="144"/>
      <c r="CX44" s="157" t="s">
        <v>65</v>
      </c>
      <c r="CY44" s="158"/>
      <c r="CZ44" s="159">
        <f>CZ43</f>
        <v>6802.5</v>
      </c>
      <c r="DA44" s="159">
        <f aca="true" t="shared" si="142" ref="DA44:DN44">DA43+CZ44</f>
        <v>10980</v>
      </c>
      <c r="DB44" s="159">
        <f t="shared" si="142"/>
        <v>13776</v>
      </c>
      <c r="DC44" s="159">
        <f t="shared" si="142"/>
        <v>16144.657500000001</v>
      </c>
      <c r="DD44" s="159">
        <f t="shared" si="142"/>
        <v>18824.211899999995</v>
      </c>
      <c r="DE44" s="159">
        <f t="shared" si="142"/>
        <v>22392.107481749998</v>
      </c>
      <c r="DF44" s="159">
        <f t="shared" si="142"/>
        <v>27306.393065759992</v>
      </c>
      <c r="DG44" s="159">
        <f t="shared" si="142"/>
        <v>33936.83205074706</v>
      </c>
      <c r="DH44" s="159">
        <f t="shared" si="142"/>
        <v>42588.298259801064</v>
      </c>
      <c r="DI44" s="159">
        <f t="shared" si="142"/>
        <v>53518.38931257579</v>
      </c>
      <c r="DJ44" s="159">
        <f t="shared" si="142"/>
        <v>96917.66074104741</v>
      </c>
      <c r="DK44" s="159">
        <f t="shared" si="142"/>
        <v>142353.93281212848</v>
      </c>
      <c r="DL44" s="159">
        <f t="shared" si="142"/>
        <v>190007.94824566034</v>
      </c>
      <c r="DM44" s="159">
        <f t="shared" si="142"/>
        <v>240050.50426465884</v>
      </c>
      <c r="DN44" s="159">
        <f t="shared" si="142"/>
        <v>292646.71578945965</v>
      </c>
      <c r="DO44" s="144"/>
      <c r="DQ44" s="70">
        <f>SUM(CZ43:DP43)</f>
        <v>292646.71578945965</v>
      </c>
    </row>
    <row r="45" spans="2:119" ht="18" customHeight="1" thickBot="1" thickTop="1">
      <c r="B45" s="390" t="s">
        <v>100</v>
      </c>
      <c r="C45" s="177">
        <v>1000</v>
      </c>
      <c r="D45" s="106" t="s">
        <v>102</v>
      </c>
      <c r="E45" s="106"/>
      <c r="F45" s="106"/>
      <c r="G45" s="107"/>
      <c r="J45" s="196" t="s">
        <v>120</v>
      </c>
      <c r="K45" s="197">
        <f>K70</f>
        <v>18000</v>
      </c>
      <c r="L45" s="197" t="str">
        <f>L43</f>
        <v>kr. i perioden</v>
      </c>
      <c r="M45" s="200"/>
      <c r="N45" s="186"/>
      <c r="O45" s="196" t="str">
        <f>J45</f>
        <v>+/- 1 % ændring af rente</v>
      </c>
      <c r="P45" s="197">
        <f>K71</f>
        <v>10500</v>
      </c>
      <c r="Q45" s="199" t="str">
        <f>Q43</f>
        <v>kr. i perioden</v>
      </c>
      <c r="U45" s="142"/>
      <c r="V45" s="297"/>
      <c r="W45" s="146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144"/>
      <c r="AP45" s="292"/>
      <c r="AQ45" s="293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5"/>
      <c r="BJ45" s="292"/>
      <c r="BK45" s="293"/>
      <c r="BL45" s="304"/>
      <c r="BM45" s="304"/>
      <c r="BN45" s="304"/>
      <c r="BO45" s="304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295"/>
      <c r="CD45" s="161"/>
      <c r="CE45" s="146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44"/>
      <c r="CX45" s="161"/>
      <c r="CY45" s="146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44"/>
    </row>
    <row r="46" spans="2:39" ht="25.5" customHeight="1" thickBot="1">
      <c r="B46" s="390" t="s">
        <v>90</v>
      </c>
      <c r="C46" s="177">
        <v>1500</v>
      </c>
      <c r="D46" s="106" t="str">
        <f>D45</f>
        <v>kr. /år</v>
      </c>
      <c r="E46" s="106"/>
      <c r="F46" s="106"/>
      <c r="G46" s="107"/>
      <c r="J46" s="188"/>
      <c r="K46" s="189"/>
      <c r="L46" s="189"/>
      <c r="M46" s="190"/>
      <c r="N46" s="186"/>
      <c r="O46" s="188"/>
      <c r="P46" s="189"/>
      <c r="Q46" s="191"/>
      <c r="U46" s="142"/>
      <c r="V46" s="338" t="s">
        <v>75</v>
      </c>
      <c r="W46" s="146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144"/>
    </row>
    <row r="47" spans="2:39" ht="15">
      <c r="B47" s="390" t="s">
        <v>101</v>
      </c>
      <c r="C47" s="177">
        <v>2500</v>
      </c>
      <c r="D47" s="106" t="str">
        <f>D46</f>
        <v>kr. /år</v>
      </c>
      <c r="E47" s="106"/>
      <c r="F47" s="106"/>
      <c r="G47" s="107"/>
      <c r="N47" s="186"/>
      <c r="U47" s="142"/>
      <c r="V47" s="298" t="s">
        <v>79</v>
      </c>
      <c r="W47" s="162"/>
      <c r="X47" s="278">
        <f aca="true" t="shared" si="143" ref="X47:AL47">IF(X55&gt;0,X54,0)</f>
        <v>13750</v>
      </c>
      <c r="Y47" s="278">
        <f>IF(Y55&gt;0,Y54,0)</f>
        <v>9062.5</v>
      </c>
      <c r="Z47" s="278">
        <f t="shared" si="143"/>
        <v>5546.875</v>
      </c>
      <c r="AA47" s="278">
        <f t="shared" si="143"/>
        <v>2910.15625</v>
      </c>
      <c r="AB47" s="278">
        <f t="shared" si="143"/>
        <v>932.6171875</v>
      </c>
      <c r="AC47" s="278">
        <f t="shared" si="143"/>
        <v>-550.537109375</v>
      </c>
      <c r="AD47" s="278">
        <f t="shared" si="143"/>
        <v>-1662.90283203125</v>
      </c>
      <c r="AE47" s="278">
        <f t="shared" si="143"/>
        <v>-2497.1771240234375</v>
      </c>
      <c r="AF47" s="278">
        <f t="shared" si="143"/>
        <v>-3122.882843017578</v>
      </c>
      <c r="AG47" s="278">
        <f t="shared" si="143"/>
        <v>-3592.1621322631836</v>
      </c>
      <c r="AH47" s="278">
        <f t="shared" si="143"/>
        <v>-3944.1215991973877</v>
      </c>
      <c r="AI47" s="278">
        <f t="shared" si="143"/>
        <v>-4208.091199398041</v>
      </c>
      <c r="AJ47" s="278">
        <f t="shared" si="143"/>
        <v>-4406.068399548531</v>
      </c>
      <c r="AK47" s="278">
        <f t="shared" si="143"/>
        <v>-4554.551299661398</v>
      </c>
      <c r="AL47" s="279">
        <f t="shared" si="143"/>
        <v>0</v>
      </c>
      <c r="AM47" s="144"/>
    </row>
    <row r="48" spans="2:39" ht="15.75" thickBot="1">
      <c r="B48" s="391" t="s">
        <v>5</v>
      </c>
      <c r="C48" s="315">
        <f>SUM(C45:C47)</f>
        <v>5000</v>
      </c>
      <c r="D48" s="211" t="str">
        <f>D47</f>
        <v>kr. /år</v>
      </c>
      <c r="E48" s="106"/>
      <c r="F48" s="106"/>
      <c r="G48" s="107"/>
      <c r="K48" s="53"/>
      <c r="L48" s="53"/>
      <c r="M48" s="53"/>
      <c r="P48" s="53"/>
      <c r="V48" s="299" t="s">
        <v>80</v>
      </c>
      <c r="W48" s="163"/>
      <c r="X48" s="276">
        <f>X47</f>
        <v>13750</v>
      </c>
      <c r="Y48" s="276">
        <f aca="true" t="shared" si="144" ref="Y48:AL48">Y47+IF(Y55&gt;0,Y55,0)</f>
        <v>31875</v>
      </c>
      <c r="Z48" s="276">
        <f t="shared" si="144"/>
        <v>33906.25</v>
      </c>
      <c r="AA48" s="276">
        <f t="shared" si="144"/>
        <v>34179.6875</v>
      </c>
      <c r="AB48" s="276">
        <f t="shared" si="144"/>
        <v>33134.765625</v>
      </c>
      <c r="AC48" s="276">
        <f t="shared" si="144"/>
        <v>31101.07421875</v>
      </c>
      <c r="AD48" s="276">
        <f t="shared" si="144"/>
        <v>28325.8056640625</v>
      </c>
      <c r="AE48" s="276">
        <f t="shared" si="144"/>
        <v>24994.354248046875</v>
      </c>
      <c r="AF48" s="276">
        <f t="shared" si="144"/>
        <v>21245.765686035156</v>
      </c>
      <c r="AG48" s="276">
        <f t="shared" si="144"/>
        <v>17184.324264526367</v>
      </c>
      <c r="AH48" s="276">
        <f t="shared" si="144"/>
        <v>12888.243198394775</v>
      </c>
      <c r="AI48" s="276">
        <f t="shared" si="144"/>
        <v>8416.182398796082</v>
      </c>
      <c r="AJ48" s="276">
        <f t="shared" si="144"/>
        <v>3812.136799097061</v>
      </c>
      <c r="AK48" s="276">
        <f t="shared" si="144"/>
        <v>-890.8974006772041</v>
      </c>
      <c r="AL48" s="280">
        <f t="shared" si="144"/>
        <v>0</v>
      </c>
      <c r="AM48" s="144"/>
    </row>
    <row r="49" spans="2:39" ht="15.75" thickBot="1" thickTop="1">
      <c r="B49" s="392"/>
      <c r="C49" s="127"/>
      <c r="D49" s="106"/>
      <c r="E49" s="106"/>
      <c r="F49" s="106"/>
      <c r="G49" s="107"/>
      <c r="K49" s="53"/>
      <c r="L49" s="53"/>
      <c r="M49" s="53"/>
      <c r="P49" s="53"/>
      <c r="V49" s="164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6"/>
    </row>
    <row r="50" spans="2:125" ht="24" customHeight="1">
      <c r="B50" s="393" t="s">
        <v>194</v>
      </c>
      <c r="C50" s="316">
        <v>0.02</v>
      </c>
      <c r="D50" s="106"/>
      <c r="E50" s="106"/>
      <c r="F50" s="106"/>
      <c r="G50" s="107"/>
      <c r="K50" s="53"/>
      <c r="N50" s="128"/>
      <c r="O50" s="128"/>
      <c r="P50" s="53"/>
      <c r="Q50" s="70"/>
      <c r="W50" s="53"/>
      <c r="AA50" s="70"/>
      <c r="AC50" s="70"/>
      <c r="AD50" s="70"/>
      <c r="AE50" s="70"/>
      <c r="AG50" s="70"/>
      <c r="AI50" s="70"/>
      <c r="AK50" s="70"/>
      <c r="AM50" s="70"/>
      <c r="AO50" s="70"/>
      <c r="AQ50" s="70"/>
      <c r="AS50" s="70"/>
      <c r="AW50" s="70"/>
      <c r="AX50" s="70"/>
      <c r="AY50" s="70"/>
      <c r="BA50" s="70"/>
      <c r="BC50" s="70"/>
      <c r="BE50" s="70"/>
      <c r="BG50" s="70"/>
      <c r="BI50" s="70"/>
      <c r="BK50" s="70"/>
      <c r="BM50" s="70"/>
      <c r="BQ50" s="70"/>
      <c r="BR50" s="70"/>
      <c r="BS50" s="70"/>
      <c r="BU50" s="70"/>
      <c r="BW50" s="70"/>
      <c r="BY50" s="70"/>
      <c r="CA50" s="70"/>
      <c r="CC50" s="70"/>
      <c r="CE50" s="70"/>
      <c r="CG50" s="70"/>
      <c r="CK50" s="70"/>
      <c r="CL50" s="70"/>
      <c r="CM50" s="70"/>
      <c r="CO50" s="70"/>
      <c r="CQ50" s="70"/>
      <c r="CS50" s="70"/>
      <c r="CU50" s="70"/>
      <c r="CW50" s="70"/>
      <c r="CY50" s="70"/>
      <c r="DA50" s="70"/>
      <c r="DE50" s="70"/>
      <c r="DF50" s="70"/>
      <c r="DG50" s="70"/>
      <c r="DI50" s="70"/>
      <c r="DK50" s="70"/>
      <c r="DM50" s="70"/>
      <c r="DO50" s="70"/>
      <c r="DU50" s="70"/>
    </row>
    <row r="51" spans="2:125" ht="15.75" thickBot="1">
      <c r="B51" s="394"/>
      <c r="C51" s="155"/>
      <c r="D51" s="155"/>
      <c r="E51" s="155"/>
      <c r="F51" s="155"/>
      <c r="G51" s="156"/>
      <c r="K51" s="53"/>
      <c r="N51" s="70"/>
      <c r="O51" s="128"/>
      <c r="P51" s="53"/>
      <c r="Q51" s="70"/>
      <c r="S51" s="70"/>
      <c r="V51" s="70"/>
      <c r="W51" s="53"/>
      <c r="Y51" s="70"/>
      <c r="AE51" s="70"/>
      <c r="AG51" s="70"/>
      <c r="AI51" s="70"/>
      <c r="AK51" s="70"/>
      <c r="AM51" s="70"/>
      <c r="AO51" s="70"/>
      <c r="AQ51" s="70"/>
      <c r="AS51" s="70"/>
      <c r="AW51" s="70"/>
      <c r="AY51" s="70"/>
      <c r="BA51" s="70"/>
      <c r="BC51" s="70"/>
      <c r="BE51" s="70"/>
      <c r="BG51" s="70"/>
      <c r="BI51" s="70"/>
      <c r="BK51" s="70"/>
      <c r="BM51" s="70"/>
      <c r="BQ51" s="70"/>
      <c r="BS51" s="70"/>
      <c r="BU51" s="70"/>
      <c r="BW51" s="70"/>
      <c r="BY51" s="70"/>
      <c r="CA51" s="70"/>
      <c r="CC51" s="70"/>
      <c r="CE51" s="70"/>
      <c r="CG51" s="70"/>
      <c r="CK51" s="70"/>
      <c r="CM51" s="70"/>
      <c r="CO51" s="70"/>
      <c r="CQ51" s="70"/>
      <c r="CS51" s="70"/>
      <c r="CU51" s="70"/>
      <c r="CW51" s="70"/>
      <c r="CY51" s="70"/>
      <c r="DA51" s="70"/>
      <c r="DE51" s="70"/>
      <c r="DG51" s="70"/>
      <c r="DI51" s="70"/>
      <c r="DK51" s="70"/>
      <c r="DM51" s="70"/>
      <c r="DO51" s="70"/>
      <c r="DQ51" s="70"/>
      <c r="DS51" s="70"/>
      <c r="DU51" s="70"/>
    </row>
    <row r="52" spans="2:126" ht="14.25">
      <c r="B52" s="160"/>
      <c r="K52" s="53"/>
      <c r="L52" s="53"/>
      <c r="M52" s="53"/>
      <c r="P52" s="53"/>
      <c r="S52" s="70"/>
      <c r="V52" s="70"/>
      <c r="W52" s="53"/>
      <c r="Y52" s="70"/>
      <c r="AF52" s="70"/>
      <c r="AH52" s="70"/>
      <c r="AJ52" s="70"/>
      <c r="AL52" s="70"/>
      <c r="AN52" s="70"/>
      <c r="AP52" s="70"/>
      <c r="AR52" s="70"/>
      <c r="AT52" s="70"/>
      <c r="AV52" s="70"/>
      <c r="AY52" s="70"/>
      <c r="BT52" s="70"/>
      <c r="BV52" s="70"/>
      <c r="BX52" s="70"/>
      <c r="BZ52" s="70"/>
      <c r="CB52" s="70"/>
      <c r="CD52" s="70"/>
      <c r="CF52" s="70"/>
      <c r="CH52" s="70"/>
      <c r="CJ52" s="70"/>
      <c r="CN52" s="70"/>
      <c r="CP52" s="70"/>
      <c r="CR52" s="70"/>
      <c r="CT52" s="70"/>
      <c r="CV52" s="70"/>
      <c r="CX52" s="70"/>
      <c r="CZ52" s="70"/>
      <c r="DB52" s="70"/>
      <c r="DD52" s="70"/>
      <c r="DH52" s="70"/>
      <c r="DJ52" s="70"/>
      <c r="DL52" s="70"/>
      <c r="DN52" s="70"/>
      <c r="DP52" s="70"/>
      <c r="DQ52" s="70"/>
      <c r="DS52" s="70"/>
      <c r="DT52" s="70"/>
      <c r="DV52" s="70"/>
    </row>
    <row r="53" spans="11:128" ht="14.25">
      <c r="K53" s="53"/>
      <c r="L53" s="53"/>
      <c r="M53" s="53"/>
      <c r="P53" s="53"/>
      <c r="S53" s="70"/>
      <c r="U53" s="70"/>
      <c r="V53" s="70"/>
      <c r="W53" s="53"/>
      <c r="AC53" s="70"/>
      <c r="AD53" s="52"/>
      <c r="AF53" s="70"/>
      <c r="AH53" s="70"/>
      <c r="AJ53" s="70"/>
      <c r="AL53" s="70"/>
      <c r="AN53" s="70"/>
      <c r="DR53" s="70"/>
      <c r="DX53" s="70"/>
    </row>
    <row r="54" spans="11:118" ht="15">
      <c r="K54" s="53"/>
      <c r="L54" s="53"/>
      <c r="M54" s="53"/>
      <c r="N54" s="70"/>
      <c r="P54" s="53"/>
      <c r="U54" s="70"/>
      <c r="V54" s="168" t="s">
        <v>62</v>
      </c>
      <c r="W54" s="70"/>
      <c r="X54" s="70">
        <f>(Mellemregninger!D7-Mellemregninger!D14)*$C$38</f>
        <v>13750</v>
      </c>
      <c r="Y54" s="70">
        <f>(Mellemregninger!E7-Mellemregninger!E14)*$C$38</f>
        <v>9062.5</v>
      </c>
      <c r="Z54" s="70">
        <f>(Mellemregninger!F7-Mellemregninger!F14)*$C$38</f>
        <v>5546.875</v>
      </c>
      <c r="AA54" s="70">
        <f>(Mellemregninger!G7-Mellemregninger!G14)*$C$38</f>
        <v>2910.15625</v>
      </c>
      <c r="AB54" s="70">
        <f>(Mellemregninger!H7-Mellemregninger!H14)*$C$38</f>
        <v>932.6171875</v>
      </c>
      <c r="AC54" s="70">
        <f>(Mellemregninger!I7-Mellemregninger!I14)*$C$38</f>
        <v>-550.537109375</v>
      </c>
      <c r="AD54" s="70">
        <f>(Mellemregninger!J7-Mellemregninger!J14)*$C$38</f>
        <v>-1662.90283203125</v>
      </c>
      <c r="AE54" s="70">
        <f>(Mellemregninger!K7-Mellemregninger!K14)*$C$38</f>
        <v>-2497.1771240234375</v>
      </c>
      <c r="AF54" s="70">
        <f>(Mellemregninger!L7-Mellemregninger!L14)*$C$38</f>
        <v>-3122.882843017578</v>
      </c>
      <c r="AG54" s="70">
        <f>(Mellemregninger!M7-Mellemregninger!M14)*$C$38</f>
        <v>-3592.1621322631836</v>
      </c>
      <c r="AH54" s="70">
        <f>(Mellemregninger!N7-Mellemregninger!N14)*$C$38</f>
        <v>-3944.1215991973877</v>
      </c>
      <c r="AI54" s="70">
        <f>(Mellemregninger!O7-Mellemregninger!O14)*$C$38</f>
        <v>-4208.091199398041</v>
      </c>
      <c r="AJ54" s="70">
        <f>(Mellemregninger!P7-Mellemregninger!P14)*$C$38</f>
        <v>-4406.068399548531</v>
      </c>
      <c r="AK54" s="70">
        <f>(Mellemregninger!Q7-Mellemregninger!Q14)*$C$38</f>
        <v>-4554.551299661398</v>
      </c>
      <c r="AL54" s="70">
        <f>(Mellemregninger!R7-Mellemregninger!R14)*$C$38</f>
        <v>-4665.913474746048</v>
      </c>
      <c r="AQ54" s="7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K54" s="70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E54" s="70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Y54" s="70"/>
      <c r="CZ54" s="52"/>
      <c r="DA54" s="52"/>
      <c r="DB54" s="52"/>
      <c r="DC54" s="52"/>
      <c r="DD54" s="52"/>
      <c r="DE54" s="52"/>
      <c r="DF54" s="52"/>
      <c r="DG54" s="52"/>
      <c r="DM54" s="52"/>
      <c r="DN54" s="52"/>
    </row>
    <row r="55" spans="11:38" ht="14.25">
      <c r="K55" s="53"/>
      <c r="L55" s="53"/>
      <c r="M55" s="53"/>
      <c r="N55" s="70"/>
      <c r="P55" s="53"/>
      <c r="U55" s="70"/>
      <c r="V55" s="53" t="s">
        <v>64</v>
      </c>
      <c r="W55" s="70"/>
      <c r="X55" s="70">
        <f>X54</f>
        <v>13750</v>
      </c>
      <c r="Y55" s="70">
        <f aca="true" t="shared" si="145" ref="Y55:AL55">X55+Y54</f>
        <v>22812.5</v>
      </c>
      <c r="Z55" s="70">
        <f t="shared" si="145"/>
        <v>28359.375</v>
      </c>
      <c r="AA55" s="70">
        <f t="shared" si="145"/>
        <v>31269.53125</v>
      </c>
      <c r="AB55" s="70">
        <f t="shared" si="145"/>
        <v>32202.1484375</v>
      </c>
      <c r="AC55" s="70">
        <f t="shared" si="145"/>
        <v>31651.611328125</v>
      </c>
      <c r="AD55" s="70">
        <f t="shared" si="145"/>
        <v>29988.70849609375</v>
      </c>
      <c r="AE55" s="70">
        <f t="shared" si="145"/>
        <v>27491.531372070312</v>
      </c>
      <c r="AF55" s="70">
        <f t="shared" si="145"/>
        <v>24368.648529052734</v>
      </c>
      <c r="AG55" s="70">
        <f t="shared" si="145"/>
        <v>20776.48639678955</v>
      </c>
      <c r="AH55" s="70">
        <f t="shared" si="145"/>
        <v>16832.364797592163</v>
      </c>
      <c r="AI55" s="70">
        <f t="shared" si="145"/>
        <v>12624.273598194122</v>
      </c>
      <c r="AJ55" s="70">
        <f t="shared" si="145"/>
        <v>8218.205198645592</v>
      </c>
      <c r="AK55" s="70">
        <f t="shared" si="145"/>
        <v>3663.653898984194</v>
      </c>
      <c r="AL55" s="70">
        <f t="shared" si="145"/>
        <v>-1002.2595757618546</v>
      </c>
    </row>
    <row r="56" spans="2:37" ht="14.25">
      <c r="B56" s="160" t="s">
        <v>110</v>
      </c>
      <c r="C56" s="70"/>
      <c r="D56" s="70"/>
      <c r="E56" s="70"/>
      <c r="F56" s="70"/>
      <c r="G56" s="70"/>
      <c r="I56" s="167"/>
      <c r="K56" s="53"/>
      <c r="L56" s="53"/>
      <c r="M56" s="53"/>
      <c r="P56" s="53"/>
      <c r="U56" s="70"/>
      <c r="W56" s="70"/>
      <c r="Y56" s="70"/>
      <c r="AA56" s="70"/>
      <c r="AC56" s="70"/>
      <c r="AE56" s="70"/>
      <c r="AG56" s="70"/>
      <c r="AI56" s="70"/>
      <c r="AK56" s="70"/>
    </row>
    <row r="57" spans="2:117" ht="15">
      <c r="B57" s="160"/>
      <c r="C57" s="70"/>
      <c r="D57" s="70"/>
      <c r="E57" s="70"/>
      <c r="F57" s="70"/>
      <c r="G57" s="167" t="s">
        <v>111</v>
      </c>
      <c r="I57" s="70"/>
      <c r="J57" s="167" t="s">
        <v>114</v>
      </c>
      <c r="K57" s="167" t="s">
        <v>113</v>
      </c>
      <c r="L57" s="53"/>
      <c r="M57" s="53"/>
      <c r="P57" s="53"/>
      <c r="U57" s="70"/>
      <c r="V57" s="308" t="s">
        <v>172</v>
      </c>
      <c r="W57" s="309"/>
      <c r="Y57" s="70"/>
      <c r="AA57" s="70"/>
      <c r="AC57" s="70"/>
      <c r="AE57" s="70"/>
      <c r="AG57" s="70"/>
      <c r="AI57" s="70"/>
      <c r="AK57" s="70"/>
      <c r="AP57" s="308" t="s">
        <v>172</v>
      </c>
      <c r="AQ57" s="309"/>
      <c r="AS57" s="70"/>
      <c r="AU57" s="70"/>
      <c r="AW57" s="70"/>
      <c r="AY57" s="70"/>
      <c r="BA57" s="70"/>
      <c r="BC57" s="70"/>
      <c r="BE57" s="70"/>
      <c r="BJ57" s="308" t="s">
        <v>172</v>
      </c>
      <c r="BK57" s="309"/>
      <c r="BM57" s="70"/>
      <c r="BO57" s="70"/>
      <c r="BQ57" s="70"/>
      <c r="BS57" s="70"/>
      <c r="BU57" s="70"/>
      <c r="BW57" s="70"/>
      <c r="BY57" s="70"/>
      <c r="CD57" s="308" t="s">
        <v>172</v>
      </c>
      <c r="CE57" s="309"/>
      <c r="CG57" s="70"/>
      <c r="CI57" s="70"/>
      <c r="CK57" s="70"/>
      <c r="CM57" s="70"/>
      <c r="CO57" s="70"/>
      <c r="CQ57" s="70"/>
      <c r="CS57" s="70"/>
      <c r="CX57" s="308" t="s">
        <v>172</v>
      </c>
      <c r="CY57" s="309"/>
      <c r="DA57" s="70"/>
      <c r="DC57" s="70"/>
      <c r="DE57" s="70"/>
      <c r="DG57" s="70"/>
      <c r="DI57" s="70"/>
      <c r="DK57" s="70"/>
      <c r="DM57" s="70"/>
    </row>
    <row r="58" spans="2:118" ht="14.25">
      <c r="B58" s="160" t="str">
        <f>J39</f>
        <v>- 10 % i elproduktionen</v>
      </c>
      <c r="C58" s="70" t="s">
        <v>129</v>
      </c>
      <c r="D58" s="70"/>
      <c r="E58" s="70"/>
      <c r="F58" s="70"/>
      <c r="G58" s="70">
        <f>SUM(X13:AL13)</f>
        <v>-295879.4826897576</v>
      </c>
      <c r="I58" s="70"/>
      <c r="J58" s="70">
        <f>SUM(AR13:BF13)</f>
        <v>-306173.2326897576</v>
      </c>
      <c r="K58" s="70">
        <f>J58-G58</f>
        <v>-10293.75</v>
      </c>
      <c r="L58" s="53"/>
      <c r="M58" s="53"/>
      <c r="P58" s="53"/>
      <c r="U58" s="70"/>
      <c r="V58" s="305" t="s">
        <v>11</v>
      </c>
      <c r="W58" s="70"/>
      <c r="X58" s="52">
        <f>X13</f>
        <v>-80800</v>
      </c>
      <c r="Y58" s="52">
        <f aca="true" t="shared" si="146" ref="Y58:AL58">Y13</f>
        <v>-60900</v>
      </c>
      <c r="Z58" s="52">
        <f t="shared" si="146"/>
        <v>-45687</v>
      </c>
      <c r="AA58" s="52">
        <f t="shared" si="146"/>
        <v>-33989.04</v>
      </c>
      <c r="AB58" s="52">
        <f t="shared" si="146"/>
        <v>-24927.1233</v>
      </c>
      <c r="AC58" s="52">
        <f t="shared" si="146"/>
        <v>-17841.974016</v>
      </c>
      <c r="AD58" s="52">
        <f t="shared" si="146"/>
        <v>-12239.10512757</v>
      </c>
      <c r="AE58" s="52">
        <f t="shared" si="146"/>
        <v>-7747.619419496401</v>
      </c>
      <c r="AF58" s="52">
        <f t="shared" si="146"/>
        <v>-4089.3100891519534</v>
      </c>
      <c r="AG58" s="52">
        <f t="shared" si="146"/>
        <v>-4055.486098080304</v>
      </c>
      <c r="AH58" s="52">
        <f t="shared" si="146"/>
        <v>-2289.591076406794</v>
      </c>
      <c r="AI58" s="52">
        <f t="shared" si="146"/>
        <v>-1274.1673862647858</v>
      </c>
      <c r="AJ58" s="52">
        <f t="shared" si="146"/>
        <v>-521.0790485964753</v>
      </c>
      <c r="AK58" s="52">
        <f t="shared" si="146"/>
        <v>35.82118869984515</v>
      </c>
      <c r="AL58" s="52">
        <f t="shared" si="146"/>
        <v>446.1916831092294</v>
      </c>
      <c r="AP58" s="305" t="s">
        <v>11</v>
      </c>
      <c r="AQ58" s="70"/>
      <c r="AR58" s="52">
        <f>AR13</f>
        <v>-81837.5</v>
      </c>
      <c r="AS58" s="52">
        <f aca="true" t="shared" si="147" ref="AS58:BF58">AS13</f>
        <v>-61893.75</v>
      </c>
      <c r="AT58" s="52">
        <f t="shared" si="147"/>
        <v>-46680.75</v>
      </c>
      <c r="AU58" s="52">
        <f t="shared" si="147"/>
        <v>-34982.79</v>
      </c>
      <c r="AV58" s="52">
        <f t="shared" si="147"/>
        <v>-25920.8733</v>
      </c>
      <c r="AW58" s="52">
        <f t="shared" si="147"/>
        <v>-18835.724016</v>
      </c>
      <c r="AX58" s="52">
        <f t="shared" si="147"/>
        <v>-13232.85512757</v>
      </c>
      <c r="AY58" s="52">
        <f t="shared" si="147"/>
        <v>-8741.369419496401</v>
      </c>
      <c r="AZ58" s="52">
        <f t="shared" si="147"/>
        <v>-5083.060089151953</v>
      </c>
      <c r="BA58" s="52">
        <f t="shared" si="147"/>
        <v>-2049.236098080304</v>
      </c>
      <c r="BB58" s="52">
        <f t="shared" si="147"/>
        <v>-2952.091076406794</v>
      </c>
      <c r="BC58" s="52">
        <f t="shared" si="147"/>
        <v>-1936.6673862647858</v>
      </c>
      <c r="BD58" s="52">
        <f t="shared" si="147"/>
        <v>-1183.5790485964753</v>
      </c>
      <c r="BE58" s="52">
        <f t="shared" si="147"/>
        <v>-626.6788113001539</v>
      </c>
      <c r="BF58" s="52">
        <f t="shared" si="147"/>
        <v>-216.30831689076967</v>
      </c>
      <c r="BJ58" s="305" t="s">
        <v>11</v>
      </c>
      <c r="BK58" s="70"/>
      <c r="BL58" s="52">
        <f>BL13</f>
        <v>-80800</v>
      </c>
      <c r="BM58" s="52">
        <f aca="true" t="shared" si="148" ref="BM58:BZ58">BM13</f>
        <v>-60920</v>
      </c>
      <c r="BN58" s="52">
        <f t="shared" si="148"/>
        <v>-45728.6</v>
      </c>
      <c r="BO58" s="52">
        <f t="shared" si="148"/>
        <v>-34053.937999999995</v>
      </c>
      <c r="BP58" s="52">
        <f t="shared" si="148"/>
        <v>-25017.12074</v>
      </c>
      <c r="BQ58" s="52">
        <f t="shared" si="148"/>
        <v>-17958.9815042</v>
      </c>
      <c r="BR58" s="52">
        <f t="shared" si="148"/>
        <v>-12385.148471666</v>
      </c>
      <c r="BS58" s="52">
        <f t="shared" si="148"/>
        <v>-7924.84597672778</v>
      </c>
      <c r="BT58" s="52">
        <f t="shared" si="148"/>
        <v>-4299.995451553399</v>
      </c>
      <c r="BU58" s="52">
        <f t="shared" si="148"/>
        <v>-1302.041130229576</v>
      </c>
      <c r="BV58" s="52">
        <f t="shared" si="148"/>
        <v>-2574.5693238401127</v>
      </c>
      <c r="BW58" s="52">
        <f t="shared" si="148"/>
        <v>-1600.2728736566532</v>
      </c>
      <c r="BX58" s="52">
        <f t="shared" si="148"/>
        <v>-891.174487772425</v>
      </c>
      <c r="BY58" s="52">
        <f t="shared" si="148"/>
        <v>-381.29424017182555</v>
      </c>
      <c r="BZ58" s="52">
        <f t="shared" si="148"/>
        <v>-21.15019147505609</v>
      </c>
      <c r="CD58" s="305" t="s">
        <v>11</v>
      </c>
      <c r="CE58" s="70"/>
      <c r="CF58" s="52">
        <f>CF13</f>
        <v>-77950</v>
      </c>
      <c r="CG58" s="52">
        <f aca="true" t="shared" si="149" ref="CG58:CT58">CG13</f>
        <v>-58350</v>
      </c>
      <c r="CH58" s="52">
        <f t="shared" si="149"/>
        <v>-43437</v>
      </c>
      <c r="CI58" s="52">
        <f t="shared" si="149"/>
        <v>-32039.04</v>
      </c>
      <c r="CJ58" s="52">
        <f t="shared" si="149"/>
        <v>-23277.1233</v>
      </c>
      <c r="CK58" s="52">
        <f t="shared" si="149"/>
        <v>-16491.974016</v>
      </c>
      <c r="CL58" s="52">
        <f t="shared" si="149"/>
        <v>-11189.10512757</v>
      </c>
      <c r="CM58" s="52">
        <f t="shared" si="149"/>
        <v>-6997.619419496401</v>
      </c>
      <c r="CN58" s="52">
        <f t="shared" si="149"/>
        <v>-3639.3100891519534</v>
      </c>
      <c r="CO58" s="52">
        <f t="shared" si="149"/>
        <v>-905.4860980803041</v>
      </c>
      <c r="CP58" s="52">
        <f t="shared" si="149"/>
        <v>-2289.591076406794</v>
      </c>
      <c r="CQ58" s="52">
        <f t="shared" si="149"/>
        <v>-1274.1673862647858</v>
      </c>
      <c r="CR58" s="52">
        <f t="shared" si="149"/>
        <v>-521.0790485964753</v>
      </c>
      <c r="CS58" s="52">
        <f t="shared" si="149"/>
        <v>35.82118869984515</v>
      </c>
      <c r="CT58" s="52">
        <f t="shared" si="149"/>
        <v>446.1916831092294</v>
      </c>
      <c r="CX58" s="305" t="s">
        <v>11</v>
      </c>
      <c r="CY58" s="70"/>
      <c r="CZ58" s="52">
        <f>CZ13</f>
        <v>-78930</v>
      </c>
      <c r="DA58" s="52">
        <f aca="true" t="shared" si="150" ref="DA58:DN58">DA13</f>
        <v>-59430</v>
      </c>
      <c r="DB58" s="52">
        <f t="shared" si="150"/>
        <v>-44622</v>
      </c>
      <c r="DC58" s="52">
        <f t="shared" si="150"/>
        <v>-33334.29</v>
      </c>
      <c r="DD58" s="52">
        <f t="shared" si="150"/>
        <v>-24688.1358</v>
      </c>
      <c r="DE58" s="52">
        <f t="shared" si="150"/>
        <v>-18024.537141</v>
      </c>
      <c r="DF58" s="52">
        <f t="shared" si="150"/>
        <v>-12849.29640882</v>
      </c>
      <c r="DG58" s="52">
        <f t="shared" si="150"/>
        <v>-8791.820264808899</v>
      </c>
      <c r="DH58" s="52">
        <f t="shared" si="150"/>
        <v>-5574.220976730077</v>
      </c>
      <c r="DI58" s="52">
        <f t="shared" si="150"/>
        <v>-2988.1425300373357</v>
      </c>
      <c r="DJ58" s="52">
        <f t="shared" si="150"/>
        <v>-4867.380329961676</v>
      </c>
      <c r="DK58" s="52">
        <f t="shared" si="150"/>
        <v>-4014.8461024974113</v>
      </c>
      <c r="DL58" s="52">
        <f t="shared" si="150"/>
        <v>-3432.7917006407333</v>
      </c>
      <c r="DM58" s="52">
        <f t="shared" si="150"/>
        <v>-3055.477095946625</v>
      </c>
      <c r="DN58" s="52">
        <f t="shared" si="150"/>
        <v>-2833.6715157695644</v>
      </c>
    </row>
    <row r="59" spans="2:118" ht="14.25">
      <c r="B59" s="160"/>
      <c r="C59" s="70" t="s">
        <v>115</v>
      </c>
      <c r="D59" s="70"/>
      <c r="E59" s="70"/>
      <c r="F59" s="70"/>
      <c r="G59" s="70">
        <f>AL44</f>
        <v>304314.5611718006</v>
      </c>
      <c r="I59" s="70"/>
      <c r="J59" s="70">
        <f>BF44</f>
        <v>241256.45709571888</v>
      </c>
      <c r="K59" s="70">
        <f>J59-G59</f>
        <v>-63058.10407608171</v>
      </c>
      <c r="L59" s="53"/>
      <c r="M59" s="53"/>
      <c r="P59" s="53"/>
      <c r="U59" s="70"/>
      <c r="V59" s="306" t="s">
        <v>170</v>
      </c>
      <c r="W59" s="52">
        <f>Z14</f>
        <v>0</v>
      </c>
      <c r="X59" s="52">
        <f>X14</f>
        <v>0</v>
      </c>
      <c r="Y59" s="52">
        <f aca="true" t="shared" si="151" ref="Y59:AL59">Y14</f>
        <v>0</v>
      </c>
      <c r="Z59" s="52">
        <f t="shared" si="151"/>
        <v>0</v>
      </c>
      <c r="AA59" s="52">
        <f t="shared" si="151"/>
        <v>0</v>
      </c>
      <c r="AB59" s="52">
        <f t="shared" si="151"/>
        <v>0</v>
      </c>
      <c r="AC59" s="52">
        <f t="shared" si="151"/>
        <v>0</v>
      </c>
      <c r="AD59" s="52">
        <f t="shared" si="151"/>
        <v>0</v>
      </c>
      <c r="AE59" s="52">
        <f t="shared" si="151"/>
        <v>0</v>
      </c>
      <c r="AF59" s="52">
        <f t="shared" si="151"/>
        <v>0</v>
      </c>
      <c r="AG59" s="52">
        <f t="shared" si="151"/>
        <v>0</v>
      </c>
      <c r="AH59" s="52">
        <f t="shared" si="151"/>
        <v>506.8216323852539</v>
      </c>
      <c r="AI59" s="52">
        <f t="shared" si="151"/>
        <v>380.11622428894043</v>
      </c>
      <c r="AJ59" s="52">
        <f t="shared" si="151"/>
        <v>285.0871682167053</v>
      </c>
      <c r="AK59" s="52">
        <f t="shared" si="151"/>
        <v>213.815376162529</v>
      </c>
      <c r="AL59" s="52">
        <f t="shared" si="151"/>
        <v>160.36153212189674</v>
      </c>
      <c r="AN59" s="70"/>
      <c r="AO59" s="52">
        <f>AR14</f>
        <v>0</v>
      </c>
      <c r="AP59" s="306" t="s">
        <v>170</v>
      </c>
      <c r="AQ59" s="52">
        <f>AT14</f>
        <v>0</v>
      </c>
      <c r="AR59" s="52">
        <f>AR14</f>
        <v>0</v>
      </c>
      <c r="AS59" s="52">
        <f aca="true" t="shared" si="152" ref="AS59:BF59">AS14</f>
        <v>0</v>
      </c>
      <c r="AT59" s="52">
        <f t="shared" si="152"/>
        <v>0</v>
      </c>
      <c r="AU59" s="52">
        <f t="shared" si="152"/>
        <v>0</v>
      </c>
      <c r="AV59" s="52">
        <f t="shared" si="152"/>
        <v>0</v>
      </c>
      <c r="AW59" s="52">
        <f t="shared" si="152"/>
        <v>0</v>
      </c>
      <c r="AX59" s="52">
        <f t="shared" si="152"/>
        <v>0</v>
      </c>
      <c r="AY59" s="52">
        <f t="shared" si="152"/>
        <v>0</v>
      </c>
      <c r="AZ59" s="52">
        <f t="shared" si="152"/>
        <v>0</v>
      </c>
      <c r="BA59" s="52">
        <f t="shared" si="152"/>
        <v>0</v>
      </c>
      <c r="BB59" s="52">
        <f t="shared" si="152"/>
        <v>506.8216323852539</v>
      </c>
      <c r="BC59" s="52">
        <f t="shared" si="152"/>
        <v>380.11622428894043</v>
      </c>
      <c r="BD59" s="52">
        <f t="shared" si="152"/>
        <v>285.0871682167053</v>
      </c>
      <c r="BE59" s="52">
        <f t="shared" si="152"/>
        <v>213.815376162529</v>
      </c>
      <c r="BF59" s="52">
        <f t="shared" si="152"/>
        <v>160.36153212189674</v>
      </c>
      <c r="BJ59" s="306" t="s">
        <v>170</v>
      </c>
      <c r="BK59" s="52">
        <f>BN14</f>
        <v>0</v>
      </c>
      <c r="BL59" s="52">
        <f>BL14</f>
        <v>0</v>
      </c>
      <c r="BM59" s="52">
        <f aca="true" t="shared" si="153" ref="BM59:BZ59">BM14</f>
        <v>0</v>
      </c>
      <c r="BN59" s="52">
        <f t="shared" si="153"/>
        <v>0</v>
      </c>
      <c r="BO59" s="52">
        <f t="shared" si="153"/>
        <v>0</v>
      </c>
      <c r="BP59" s="52">
        <f t="shared" si="153"/>
        <v>0</v>
      </c>
      <c r="BQ59" s="52">
        <f t="shared" si="153"/>
        <v>0</v>
      </c>
      <c r="BR59" s="52">
        <f t="shared" si="153"/>
        <v>0</v>
      </c>
      <c r="BS59" s="52">
        <f t="shared" si="153"/>
        <v>0</v>
      </c>
      <c r="BT59" s="52">
        <f t="shared" si="153"/>
        <v>0</v>
      </c>
      <c r="BU59" s="52">
        <f t="shared" si="153"/>
        <v>0</v>
      </c>
      <c r="BV59" s="52">
        <f t="shared" si="153"/>
        <v>506.8216323852539</v>
      </c>
      <c r="BW59" s="52">
        <f t="shared" si="153"/>
        <v>380.11622428894043</v>
      </c>
      <c r="BX59" s="52">
        <f t="shared" si="153"/>
        <v>285.0871682167053</v>
      </c>
      <c r="BY59" s="52">
        <f t="shared" si="153"/>
        <v>213.815376162529</v>
      </c>
      <c r="BZ59" s="52">
        <f t="shared" si="153"/>
        <v>160.36153212189674</v>
      </c>
      <c r="CD59" s="306" t="s">
        <v>170</v>
      </c>
      <c r="CE59" s="52">
        <f>CH14</f>
        <v>0</v>
      </c>
      <c r="CF59" s="52">
        <f>CF14</f>
        <v>0</v>
      </c>
      <c r="CG59" s="52">
        <f aca="true" t="shared" si="154" ref="CG59:CT59">CG14</f>
        <v>0</v>
      </c>
      <c r="CH59" s="52">
        <f t="shared" si="154"/>
        <v>0</v>
      </c>
      <c r="CI59" s="52">
        <f t="shared" si="154"/>
        <v>0</v>
      </c>
      <c r="CJ59" s="52">
        <f t="shared" si="154"/>
        <v>0</v>
      </c>
      <c r="CK59" s="52">
        <f t="shared" si="154"/>
        <v>0</v>
      </c>
      <c r="CL59" s="52">
        <f t="shared" si="154"/>
        <v>0</v>
      </c>
      <c r="CM59" s="52">
        <f t="shared" si="154"/>
        <v>0</v>
      </c>
      <c r="CN59" s="52">
        <f t="shared" si="154"/>
        <v>0</v>
      </c>
      <c r="CO59" s="52">
        <f t="shared" si="154"/>
        <v>0</v>
      </c>
      <c r="CP59" s="52">
        <f t="shared" si="154"/>
        <v>506.8216323852539</v>
      </c>
      <c r="CQ59" s="52">
        <f t="shared" si="154"/>
        <v>380.11622428894043</v>
      </c>
      <c r="CR59" s="52">
        <f t="shared" si="154"/>
        <v>285.0871682167053</v>
      </c>
      <c r="CS59" s="52">
        <f t="shared" si="154"/>
        <v>213.815376162529</v>
      </c>
      <c r="CT59" s="52">
        <f t="shared" si="154"/>
        <v>160.36153212189674</v>
      </c>
      <c r="CX59" s="306" t="s">
        <v>170</v>
      </c>
      <c r="CY59" s="52">
        <f>DB14</f>
        <v>0</v>
      </c>
      <c r="CZ59" s="52">
        <f>CZ14</f>
        <v>0</v>
      </c>
      <c r="DA59" s="52">
        <f aca="true" t="shared" si="155" ref="DA59:DN59">DA14</f>
        <v>0</v>
      </c>
      <c r="DB59" s="52">
        <f t="shared" si="155"/>
        <v>0</v>
      </c>
      <c r="DC59" s="52">
        <f t="shared" si="155"/>
        <v>0</v>
      </c>
      <c r="DD59" s="52">
        <f t="shared" si="155"/>
        <v>0</v>
      </c>
      <c r="DE59" s="52">
        <f t="shared" si="155"/>
        <v>0</v>
      </c>
      <c r="DF59" s="52">
        <f t="shared" si="155"/>
        <v>0</v>
      </c>
      <c r="DG59" s="52">
        <f t="shared" si="155"/>
        <v>0</v>
      </c>
      <c r="DH59" s="52">
        <f t="shared" si="155"/>
        <v>0</v>
      </c>
      <c r="DI59" s="52">
        <f t="shared" si="155"/>
        <v>0</v>
      </c>
      <c r="DJ59" s="52">
        <f t="shared" si="155"/>
        <v>506.8216323852539</v>
      </c>
      <c r="DK59" s="52">
        <f t="shared" si="155"/>
        <v>380.11622428894043</v>
      </c>
      <c r="DL59" s="52">
        <f t="shared" si="155"/>
        <v>285.0871682167053</v>
      </c>
      <c r="DM59" s="52">
        <f t="shared" si="155"/>
        <v>213.815376162529</v>
      </c>
      <c r="DN59" s="52">
        <f t="shared" si="155"/>
        <v>160.36153212189674</v>
      </c>
    </row>
    <row r="60" spans="2:118" ht="14.25">
      <c r="B60" s="160"/>
      <c r="C60" s="70"/>
      <c r="D60" s="70"/>
      <c r="E60" s="70"/>
      <c r="F60" s="70"/>
      <c r="G60" s="70"/>
      <c r="I60" s="70"/>
      <c r="J60" s="70"/>
      <c r="K60" s="53"/>
      <c r="L60" s="53"/>
      <c r="M60" s="53"/>
      <c r="P60" s="53"/>
      <c r="U60" s="70"/>
      <c r="V60" s="307" t="s">
        <v>92</v>
      </c>
      <c r="W60" s="70"/>
      <c r="X60" s="70">
        <f>X58-X59</f>
        <v>-80800</v>
      </c>
      <c r="Y60" s="70">
        <f aca="true" t="shared" si="156" ref="Y60:AL60">Y58-Y59</f>
        <v>-60900</v>
      </c>
      <c r="Z60" s="70">
        <f t="shared" si="156"/>
        <v>-45687</v>
      </c>
      <c r="AA60" s="70">
        <f t="shared" si="156"/>
        <v>-33989.04</v>
      </c>
      <c r="AB60" s="70">
        <f t="shared" si="156"/>
        <v>-24927.1233</v>
      </c>
      <c r="AC60" s="70">
        <f t="shared" si="156"/>
        <v>-17841.974016</v>
      </c>
      <c r="AD60" s="70">
        <f t="shared" si="156"/>
        <v>-12239.10512757</v>
      </c>
      <c r="AE60" s="70">
        <f t="shared" si="156"/>
        <v>-7747.619419496401</v>
      </c>
      <c r="AF60" s="70">
        <f t="shared" si="156"/>
        <v>-4089.3100891519534</v>
      </c>
      <c r="AG60" s="70">
        <f t="shared" si="156"/>
        <v>-4055.486098080304</v>
      </c>
      <c r="AH60" s="70">
        <f t="shared" si="156"/>
        <v>-2796.412708792048</v>
      </c>
      <c r="AI60" s="70">
        <f t="shared" si="156"/>
        <v>-1654.2836105537262</v>
      </c>
      <c r="AJ60" s="70">
        <f t="shared" si="156"/>
        <v>-806.1662168131807</v>
      </c>
      <c r="AK60" s="70">
        <f t="shared" si="156"/>
        <v>-177.99418746268384</v>
      </c>
      <c r="AL60" s="70">
        <f t="shared" si="156"/>
        <v>285.8301509873327</v>
      </c>
      <c r="AP60" s="307" t="s">
        <v>92</v>
      </c>
      <c r="AQ60" s="70"/>
      <c r="AR60" s="70">
        <f aca="true" t="shared" si="157" ref="AR60:BF60">AR58-AR59</f>
        <v>-81837.5</v>
      </c>
      <c r="AS60" s="70">
        <f t="shared" si="157"/>
        <v>-61893.75</v>
      </c>
      <c r="AT60" s="70">
        <f t="shared" si="157"/>
        <v>-46680.75</v>
      </c>
      <c r="AU60" s="70">
        <f t="shared" si="157"/>
        <v>-34982.79</v>
      </c>
      <c r="AV60" s="70">
        <f t="shared" si="157"/>
        <v>-25920.8733</v>
      </c>
      <c r="AW60" s="70">
        <f t="shared" si="157"/>
        <v>-18835.724016</v>
      </c>
      <c r="AX60" s="70">
        <f t="shared" si="157"/>
        <v>-13232.85512757</v>
      </c>
      <c r="AY60" s="70">
        <f t="shared" si="157"/>
        <v>-8741.369419496401</v>
      </c>
      <c r="AZ60" s="70">
        <f t="shared" si="157"/>
        <v>-5083.060089151953</v>
      </c>
      <c r="BA60" s="70">
        <f t="shared" si="157"/>
        <v>-2049.236098080304</v>
      </c>
      <c r="BB60" s="70">
        <f t="shared" si="157"/>
        <v>-3458.912708792048</v>
      </c>
      <c r="BC60" s="70">
        <f t="shared" si="157"/>
        <v>-2316.7836105537262</v>
      </c>
      <c r="BD60" s="70">
        <f t="shared" si="157"/>
        <v>-1468.6662168131807</v>
      </c>
      <c r="BE60" s="70">
        <f t="shared" si="157"/>
        <v>-840.4941874626829</v>
      </c>
      <c r="BF60" s="70">
        <f t="shared" si="157"/>
        <v>-376.6698490126664</v>
      </c>
      <c r="BJ60" s="307" t="s">
        <v>92</v>
      </c>
      <c r="BK60" s="70"/>
      <c r="BL60" s="70">
        <f aca="true" t="shared" si="158" ref="BL60:BZ60">BL58-BL59</f>
        <v>-80800</v>
      </c>
      <c r="BM60" s="70">
        <f t="shared" si="158"/>
        <v>-60920</v>
      </c>
      <c r="BN60" s="70">
        <f t="shared" si="158"/>
        <v>-45728.6</v>
      </c>
      <c r="BO60" s="70">
        <f t="shared" si="158"/>
        <v>-34053.937999999995</v>
      </c>
      <c r="BP60" s="70">
        <f t="shared" si="158"/>
        <v>-25017.12074</v>
      </c>
      <c r="BQ60" s="70">
        <f t="shared" si="158"/>
        <v>-17958.9815042</v>
      </c>
      <c r="BR60" s="70">
        <f t="shared" si="158"/>
        <v>-12385.148471666</v>
      </c>
      <c r="BS60" s="70">
        <f t="shared" si="158"/>
        <v>-7924.84597672778</v>
      </c>
      <c r="BT60" s="70">
        <f t="shared" si="158"/>
        <v>-4299.995451553399</v>
      </c>
      <c r="BU60" s="70">
        <f t="shared" si="158"/>
        <v>-1302.041130229576</v>
      </c>
      <c r="BV60" s="70">
        <f t="shared" si="158"/>
        <v>-3081.3909562253666</v>
      </c>
      <c r="BW60" s="70">
        <f t="shared" si="158"/>
        <v>-1980.3890979455937</v>
      </c>
      <c r="BX60" s="70">
        <f t="shared" si="158"/>
        <v>-1176.2616559891303</v>
      </c>
      <c r="BY60" s="70">
        <f t="shared" si="158"/>
        <v>-595.1096163343545</v>
      </c>
      <c r="BZ60" s="70">
        <f t="shared" si="158"/>
        <v>-181.51172359695283</v>
      </c>
      <c r="CD60" s="307" t="s">
        <v>92</v>
      </c>
      <c r="CE60" s="70"/>
      <c r="CF60" s="70">
        <f aca="true" t="shared" si="159" ref="CF60:CT60">CF58-CF59</f>
        <v>-77950</v>
      </c>
      <c r="CG60" s="70">
        <f t="shared" si="159"/>
        <v>-58350</v>
      </c>
      <c r="CH60" s="70">
        <f t="shared" si="159"/>
        <v>-43437</v>
      </c>
      <c r="CI60" s="70">
        <f t="shared" si="159"/>
        <v>-32039.04</v>
      </c>
      <c r="CJ60" s="70">
        <f t="shared" si="159"/>
        <v>-23277.1233</v>
      </c>
      <c r="CK60" s="70">
        <f t="shared" si="159"/>
        <v>-16491.974016</v>
      </c>
      <c r="CL60" s="70">
        <f t="shared" si="159"/>
        <v>-11189.10512757</v>
      </c>
      <c r="CM60" s="70">
        <f t="shared" si="159"/>
        <v>-6997.619419496401</v>
      </c>
      <c r="CN60" s="70">
        <f t="shared" si="159"/>
        <v>-3639.3100891519534</v>
      </c>
      <c r="CO60" s="70">
        <f t="shared" si="159"/>
        <v>-905.4860980803041</v>
      </c>
      <c r="CP60" s="70">
        <f t="shared" si="159"/>
        <v>-2796.412708792048</v>
      </c>
      <c r="CQ60" s="70">
        <f t="shared" si="159"/>
        <v>-1654.2836105537262</v>
      </c>
      <c r="CR60" s="70">
        <f t="shared" si="159"/>
        <v>-806.1662168131807</v>
      </c>
      <c r="CS60" s="70">
        <f t="shared" si="159"/>
        <v>-177.99418746268384</v>
      </c>
      <c r="CT60" s="70">
        <f t="shared" si="159"/>
        <v>285.8301509873327</v>
      </c>
      <c r="CX60" s="307" t="s">
        <v>92</v>
      </c>
      <c r="CY60" s="70"/>
      <c r="CZ60" s="70">
        <f aca="true" t="shared" si="160" ref="CZ60:DN60">CZ58-CZ59</f>
        <v>-78930</v>
      </c>
      <c r="DA60" s="70">
        <f t="shared" si="160"/>
        <v>-59430</v>
      </c>
      <c r="DB60" s="70">
        <f t="shared" si="160"/>
        <v>-44622</v>
      </c>
      <c r="DC60" s="70">
        <f t="shared" si="160"/>
        <v>-33334.29</v>
      </c>
      <c r="DD60" s="70">
        <f t="shared" si="160"/>
        <v>-24688.1358</v>
      </c>
      <c r="DE60" s="70">
        <f t="shared" si="160"/>
        <v>-18024.537141</v>
      </c>
      <c r="DF60" s="70">
        <f t="shared" si="160"/>
        <v>-12849.29640882</v>
      </c>
      <c r="DG60" s="70">
        <f t="shared" si="160"/>
        <v>-8791.820264808899</v>
      </c>
      <c r="DH60" s="70">
        <f t="shared" si="160"/>
        <v>-5574.220976730077</v>
      </c>
      <c r="DI60" s="70">
        <f t="shared" si="160"/>
        <v>-2988.1425300373357</v>
      </c>
      <c r="DJ60" s="70">
        <f t="shared" si="160"/>
        <v>-5374.20196234693</v>
      </c>
      <c r="DK60" s="70">
        <f t="shared" si="160"/>
        <v>-4394.962326786352</v>
      </c>
      <c r="DL60" s="70">
        <f t="shared" si="160"/>
        <v>-3717.8788688574386</v>
      </c>
      <c r="DM60" s="70">
        <f t="shared" si="160"/>
        <v>-3269.292472109154</v>
      </c>
      <c r="DN60" s="70">
        <f t="shared" si="160"/>
        <v>-2994.033047891461</v>
      </c>
    </row>
    <row r="61" spans="2:115" ht="14.25">
      <c r="B61" s="175" t="s">
        <v>123</v>
      </c>
      <c r="C61" s="70" t="s">
        <v>129</v>
      </c>
      <c r="D61" s="70"/>
      <c r="E61" s="70"/>
      <c r="F61" s="70"/>
      <c r="G61" s="70">
        <f>G58</f>
        <v>-295879.4826897576</v>
      </c>
      <c r="I61" s="70"/>
      <c r="J61" s="70">
        <f>DQ13</f>
        <v>-307436.6098662123</v>
      </c>
      <c r="K61" s="70">
        <f>J61-G61</f>
        <v>-11557.127176454698</v>
      </c>
      <c r="L61" s="53"/>
      <c r="M61" s="53"/>
      <c r="P61" s="53"/>
      <c r="U61" s="70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N61" s="70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</row>
    <row r="62" spans="2:118" ht="15">
      <c r="B62" s="160"/>
      <c r="C62" s="70" t="s">
        <v>115</v>
      </c>
      <c r="D62" s="70"/>
      <c r="E62" s="70"/>
      <c r="F62" s="70"/>
      <c r="G62" s="70">
        <f>G59</f>
        <v>304314.5611718006</v>
      </c>
      <c r="I62" s="70"/>
      <c r="J62" s="70">
        <f>DQ44</f>
        <v>292646.71578945965</v>
      </c>
      <c r="K62" s="70">
        <f>J62-G62</f>
        <v>-11667.84538234095</v>
      </c>
      <c r="L62" s="53"/>
      <c r="M62" s="53"/>
      <c r="P62" s="53"/>
      <c r="U62" s="70"/>
      <c r="V62" s="308" t="s">
        <v>171</v>
      </c>
      <c r="AE62" s="52"/>
      <c r="AF62" s="52"/>
      <c r="AG62" s="52"/>
      <c r="AH62" s="52"/>
      <c r="AI62" s="52"/>
      <c r="AJ62" s="52"/>
      <c r="AK62" s="52"/>
      <c r="AL62" s="52"/>
      <c r="AN62" s="52"/>
      <c r="AO62" s="52"/>
      <c r="AP62" s="308" t="s">
        <v>171</v>
      </c>
      <c r="AQ62" s="71"/>
      <c r="AY62" s="52"/>
      <c r="AZ62" s="52"/>
      <c r="BA62" s="52"/>
      <c r="BB62" s="52"/>
      <c r="BC62" s="52"/>
      <c r="BD62" s="52"/>
      <c r="BE62" s="52"/>
      <c r="BF62" s="52"/>
      <c r="BJ62" s="308" t="s">
        <v>171</v>
      </c>
      <c r="BK62" s="71"/>
      <c r="BS62" s="52"/>
      <c r="BT62" s="52"/>
      <c r="BU62" s="52"/>
      <c r="BV62" s="52"/>
      <c r="BW62" s="52"/>
      <c r="BX62" s="52"/>
      <c r="BY62" s="52"/>
      <c r="BZ62" s="52"/>
      <c r="CD62" s="308" t="s">
        <v>171</v>
      </c>
      <c r="CE62" s="71"/>
      <c r="CM62" s="52"/>
      <c r="CN62" s="52"/>
      <c r="CO62" s="52"/>
      <c r="CP62" s="52"/>
      <c r="CQ62" s="52"/>
      <c r="CR62" s="52"/>
      <c r="CS62" s="52"/>
      <c r="CT62" s="52"/>
      <c r="CX62" s="308" t="s">
        <v>171</v>
      </c>
      <c r="CY62" s="71"/>
      <c r="DG62" s="52"/>
      <c r="DH62" s="52"/>
      <c r="DI62" s="52"/>
      <c r="DJ62" s="52"/>
      <c r="DK62" s="52"/>
      <c r="DL62" s="52"/>
      <c r="DM62" s="52"/>
      <c r="DN62" s="52"/>
    </row>
    <row r="63" spans="2:118" ht="14.25">
      <c r="B63" s="160"/>
      <c r="C63" s="70"/>
      <c r="D63" s="70"/>
      <c r="E63" s="70"/>
      <c r="F63" s="70"/>
      <c r="G63" s="70"/>
      <c r="I63" s="70"/>
      <c r="J63" s="70"/>
      <c r="K63" s="53"/>
      <c r="L63" s="53"/>
      <c r="M63" s="53"/>
      <c r="P63" s="53"/>
      <c r="U63" s="70"/>
      <c r="V63" s="53" t="s">
        <v>132</v>
      </c>
      <c r="W63" s="70"/>
      <c r="X63" s="52">
        <f aca="true" t="shared" si="161" ref="X63:AL63">X60*$C$38</f>
        <v>-20200</v>
      </c>
      <c r="Y63" s="52">
        <f t="shared" si="161"/>
        <v>-15225</v>
      </c>
      <c r="Z63" s="52">
        <f t="shared" si="161"/>
        <v>-11421.75</v>
      </c>
      <c r="AA63" s="52">
        <f t="shared" si="161"/>
        <v>-8497.26</v>
      </c>
      <c r="AB63" s="52">
        <f t="shared" si="161"/>
        <v>-6231.780825</v>
      </c>
      <c r="AC63" s="52">
        <f t="shared" si="161"/>
        <v>-4460.493504</v>
      </c>
      <c r="AD63" s="52">
        <f t="shared" si="161"/>
        <v>-3059.7762818925</v>
      </c>
      <c r="AE63" s="52">
        <f t="shared" si="161"/>
        <v>-1936.9048548741002</v>
      </c>
      <c r="AF63" s="52">
        <f t="shared" si="161"/>
        <v>-1022.3275222879884</v>
      </c>
      <c r="AG63" s="52">
        <f t="shared" si="161"/>
        <v>-1013.871524520076</v>
      </c>
      <c r="AH63" s="52">
        <f t="shared" si="161"/>
        <v>-699.103177198012</v>
      </c>
      <c r="AI63" s="52">
        <f t="shared" si="161"/>
        <v>-413.57090263843156</v>
      </c>
      <c r="AJ63" s="52">
        <f t="shared" si="161"/>
        <v>-201.54155420329516</v>
      </c>
      <c r="AK63" s="52">
        <f t="shared" si="161"/>
        <v>-44.49854686567096</v>
      </c>
      <c r="AL63" s="52">
        <f t="shared" si="161"/>
        <v>71.45753774683317</v>
      </c>
      <c r="AP63" s="53" t="s">
        <v>132</v>
      </c>
      <c r="AQ63" s="70"/>
      <c r="AR63" s="52">
        <f aca="true" t="shared" si="162" ref="AR63:BF63">AR60*$C$38</f>
        <v>-20459.375</v>
      </c>
      <c r="AS63" s="52">
        <f t="shared" si="162"/>
        <v>-15473.4375</v>
      </c>
      <c r="AT63" s="52">
        <f t="shared" si="162"/>
        <v>-11670.1875</v>
      </c>
      <c r="AU63" s="52">
        <f t="shared" si="162"/>
        <v>-8745.6975</v>
      </c>
      <c r="AV63" s="52">
        <f t="shared" si="162"/>
        <v>-6480.218325</v>
      </c>
      <c r="AW63" s="52">
        <f t="shared" si="162"/>
        <v>-4708.931004</v>
      </c>
      <c r="AX63" s="52">
        <f t="shared" si="162"/>
        <v>-3308.2137818925</v>
      </c>
      <c r="AY63" s="52">
        <f t="shared" si="162"/>
        <v>-2185.3423548741002</v>
      </c>
      <c r="AZ63" s="52">
        <f t="shared" si="162"/>
        <v>-1270.7650222879884</v>
      </c>
      <c r="BA63" s="52">
        <f t="shared" si="162"/>
        <v>-512.309024520076</v>
      </c>
      <c r="BB63" s="52">
        <f t="shared" si="162"/>
        <v>-864.728177198012</v>
      </c>
      <c r="BC63" s="52">
        <f t="shared" si="162"/>
        <v>-579.1959026384316</v>
      </c>
      <c r="BD63" s="52">
        <f t="shared" si="162"/>
        <v>-367.16655420329516</v>
      </c>
      <c r="BE63" s="52">
        <f t="shared" si="162"/>
        <v>-210.12354686567073</v>
      </c>
      <c r="BF63" s="52">
        <f t="shared" si="162"/>
        <v>-94.1674622531666</v>
      </c>
      <c r="BJ63" s="53" t="s">
        <v>132</v>
      </c>
      <c r="BK63" s="70"/>
      <c r="BL63" s="52">
        <f aca="true" t="shared" si="163" ref="BL63:BZ63">BL60*$C$38</f>
        <v>-20200</v>
      </c>
      <c r="BM63" s="52">
        <f t="shared" si="163"/>
        <v>-15230</v>
      </c>
      <c r="BN63" s="52">
        <f t="shared" si="163"/>
        <v>-11432.15</v>
      </c>
      <c r="BO63" s="52">
        <f t="shared" si="163"/>
        <v>-8513.484499999999</v>
      </c>
      <c r="BP63" s="52">
        <f t="shared" si="163"/>
        <v>-6254.280185</v>
      </c>
      <c r="BQ63" s="52">
        <f t="shared" si="163"/>
        <v>-4489.74537605</v>
      </c>
      <c r="BR63" s="52">
        <f t="shared" si="163"/>
        <v>-3096.2871179165</v>
      </c>
      <c r="BS63" s="52">
        <f t="shared" si="163"/>
        <v>-1981.211494181945</v>
      </c>
      <c r="BT63" s="52">
        <f t="shared" si="163"/>
        <v>-1074.9988628883498</v>
      </c>
      <c r="BU63" s="52">
        <f t="shared" si="163"/>
        <v>-325.510282557394</v>
      </c>
      <c r="BV63" s="52">
        <f t="shared" si="163"/>
        <v>-770.3477390563417</v>
      </c>
      <c r="BW63" s="52">
        <f t="shared" si="163"/>
        <v>-495.0972744863984</v>
      </c>
      <c r="BX63" s="52">
        <f t="shared" si="163"/>
        <v>-294.0654139972826</v>
      </c>
      <c r="BY63" s="52">
        <f t="shared" si="163"/>
        <v>-148.77740408358864</v>
      </c>
      <c r="BZ63" s="52">
        <f t="shared" si="163"/>
        <v>-45.37793089923821</v>
      </c>
      <c r="CD63" s="53" t="s">
        <v>132</v>
      </c>
      <c r="CE63" s="70"/>
      <c r="CF63" s="52">
        <f aca="true" t="shared" si="164" ref="CF63:CT63">CF60*$C$38</f>
        <v>-19487.5</v>
      </c>
      <c r="CG63" s="52">
        <f t="shared" si="164"/>
        <v>-14587.5</v>
      </c>
      <c r="CH63" s="52">
        <f t="shared" si="164"/>
        <v>-10859.25</v>
      </c>
      <c r="CI63" s="52">
        <f t="shared" si="164"/>
        <v>-8009.76</v>
      </c>
      <c r="CJ63" s="52">
        <f t="shared" si="164"/>
        <v>-5819.280825</v>
      </c>
      <c r="CK63" s="52">
        <f t="shared" si="164"/>
        <v>-4122.993504</v>
      </c>
      <c r="CL63" s="52">
        <f t="shared" si="164"/>
        <v>-2797.2762818925</v>
      </c>
      <c r="CM63" s="52">
        <f t="shared" si="164"/>
        <v>-1749.4048548741002</v>
      </c>
      <c r="CN63" s="52">
        <f t="shared" si="164"/>
        <v>-909.8275222879884</v>
      </c>
      <c r="CO63" s="52">
        <f t="shared" si="164"/>
        <v>-226.37152452007604</v>
      </c>
      <c r="CP63" s="52">
        <f t="shared" si="164"/>
        <v>-699.103177198012</v>
      </c>
      <c r="CQ63" s="52">
        <f t="shared" si="164"/>
        <v>-413.57090263843156</v>
      </c>
      <c r="CR63" s="52">
        <f t="shared" si="164"/>
        <v>-201.54155420329516</v>
      </c>
      <c r="CS63" s="52">
        <f t="shared" si="164"/>
        <v>-44.49854686567096</v>
      </c>
      <c r="CT63" s="52">
        <f t="shared" si="164"/>
        <v>71.45753774683317</v>
      </c>
      <c r="CX63" s="53" t="s">
        <v>132</v>
      </c>
      <c r="CY63" s="70"/>
      <c r="CZ63" s="52">
        <f aca="true" t="shared" si="165" ref="CZ63:DN63">CZ60*$C$38</f>
        <v>-19732.5</v>
      </c>
      <c r="DA63" s="52">
        <f t="shared" si="165"/>
        <v>-14857.5</v>
      </c>
      <c r="DB63" s="52">
        <f t="shared" si="165"/>
        <v>-11155.5</v>
      </c>
      <c r="DC63" s="52">
        <f t="shared" si="165"/>
        <v>-8333.5725</v>
      </c>
      <c r="DD63" s="52">
        <f t="shared" si="165"/>
        <v>-6172.03395</v>
      </c>
      <c r="DE63" s="52">
        <f t="shared" si="165"/>
        <v>-4506.13428525</v>
      </c>
      <c r="DF63" s="52">
        <f t="shared" si="165"/>
        <v>-3212.324102205</v>
      </c>
      <c r="DG63" s="52">
        <f t="shared" si="165"/>
        <v>-2197.9550662022248</v>
      </c>
      <c r="DH63" s="52">
        <f t="shared" si="165"/>
        <v>-1393.5552441825193</v>
      </c>
      <c r="DI63" s="52">
        <f t="shared" si="165"/>
        <v>-747.0356325093339</v>
      </c>
      <c r="DJ63" s="52">
        <f t="shared" si="165"/>
        <v>-1343.5504905867324</v>
      </c>
      <c r="DK63" s="52">
        <f t="shared" si="165"/>
        <v>-1098.740581696588</v>
      </c>
      <c r="DL63" s="52">
        <f t="shared" si="165"/>
        <v>-929.4697172143597</v>
      </c>
      <c r="DM63" s="52">
        <f t="shared" si="165"/>
        <v>-817.3231180272885</v>
      </c>
      <c r="DN63" s="52">
        <f t="shared" si="165"/>
        <v>-748.5082619728653</v>
      </c>
    </row>
    <row r="64" spans="2:119" ht="14.25">
      <c r="B64" s="160"/>
      <c r="C64" s="70"/>
      <c r="D64" s="70"/>
      <c r="E64" s="70"/>
      <c r="F64" s="70"/>
      <c r="G64" s="70"/>
      <c r="I64" s="70"/>
      <c r="J64" s="70"/>
      <c r="K64" s="53"/>
      <c r="L64" s="53"/>
      <c r="M64" s="53"/>
      <c r="P64" s="53"/>
      <c r="U64" s="70"/>
      <c r="V64" s="53" t="s">
        <v>133</v>
      </c>
      <c r="W64" s="70"/>
      <c r="X64" s="52">
        <f>X59*$C$39</f>
        <v>0</v>
      </c>
      <c r="Y64" s="52">
        <f aca="true" t="shared" si="166" ref="Y64:AL64">Y59*$C$39</f>
        <v>0</v>
      </c>
      <c r="Z64" s="52">
        <f t="shared" si="166"/>
        <v>0</v>
      </c>
      <c r="AA64" s="52">
        <f t="shared" si="166"/>
        <v>0</v>
      </c>
      <c r="AB64" s="52">
        <f t="shared" si="166"/>
        <v>0</v>
      </c>
      <c r="AC64" s="52">
        <f t="shared" si="166"/>
        <v>0</v>
      </c>
      <c r="AD64" s="52">
        <f t="shared" si="166"/>
        <v>0</v>
      </c>
      <c r="AE64" s="52">
        <f t="shared" si="166"/>
        <v>0</v>
      </c>
      <c r="AF64" s="52">
        <f t="shared" si="166"/>
        <v>0</v>
      </c>
      <c r="AG64" s="52">
        <f t="shared" si="166"/>
        <v>0</v>
      </c>
      <c r="AH64" s="52">
        <f t="shared" si="166"/>
        <v>167.2511386871338</v>
      </c>
      <c r="AI64" s="52">
        <f t="shared" si="166"/>
        <v>125.43835401535034</v>
      </c>
      <c r="AJ64" s="52">
        <f t="shared" si="166"/>
        <v>94.07876551151276</v>
      </c>
      <c r="AK64" s="52">
        <f t="shared" si="166"/>
        <v>70.55907413363457</v>
      </c>
      <c r="AL64" s="52">
        <f t="shared" si="166"/>
        <v>52.919305600225925</v>
      </c>
      <c r="AP64" s="53" t="s">
        <v>133</v>
      </c>
      <c r="AQ64" s="70"/>
      <c r="AR64" s="52">
        <f>AR59*$C$39</f>
        <v>0</v>
      </c>
      <c r="AS64" s="52">
        <f aca="true" t="shared" si="167" ref="AS64:BF64">AS59*$C$39</f>
        <v>0</v>
      </c>
      <c r="AT64" s="52">
        <f t="shared" si="167"/>
        <v>0</v>
      </c>
      <c r="AU64" s="52">
        <f t="shared" si="167"/>
        <v>0</v>
      </c>
      <c r="AV64" s="52">
        <f t="shared" si="167"/>
        <v>0</v>
      </c>
      <c r="AW64" s="52">
        <f t="shared" si="167"/>
        <v>0</v>
      </c>
      <c r="AX64" s="52">
        <f t="shared" si="167"/>
        <v>0</v>
      </c>
      <c r="AY64" s="52">
        <f t="shared" si="167"/>
        <v>0</v>
      </c>
      <c r="AZ64" s="52">
        <f t="shared" si="167"/>
        <v>0</v>
      </c>
      <c r="BA64" s="52">
        <f t="shared" si="167"/>
        <v>0</v>
      </c>
      <c r="BB64" s="52">
        <f t="shared" si="167"/>
        <v>167.2511386871338</v>
      </c>
      <c r="BC64" s="52">
        <f t="shared" si="167"/>
        <v>125.43835401535034</v>
      </c>
      <c r="BD64" s="52">
        <f t="shared" si="167"/>
        <v>94.07876551151276</v>
      </c>
      <c r="BE64" s="52">
        <f t="shared" si="167"/>
        <v>70.55907413363457</v>
      </c>
      <c r="BF64" s="52">
        <f t="shared" si="167"/>
        <v>52.919305600225925</v>
      </c>
      <c r="BJ64" s="53" t="s">
        <v>133</v>
      </c>
      <c r="BK64" s="70"/>
      <c r="BL64" s="52">
        <f>BL59*$C$39</f>
        <v>0</v>
      </c>
      <c r="BM64" s="52">
        <f aca="true" t="shared" si="168" ref="BM64:BZ64">BM59*$C$39</f>
        <v>0</v>
      </c>
      <c r="BN64" s="52">
        <f t="shared" si="168"/>
        <v>0</v>
      </c>
      <c r="BO64" s="52">
        <f t="shared" si="168"/>
        <v>0</v>
      </c>
      <c r="BP64" s="52">
        <f t="shared" si="168"/>
        <v>0</v>
      </c>
      <c r="BQ64" s="52">
        <f t="shared" si="168"/>
        <v>0</v>
      </c>
      <c r="BR64" s="52">
        <f t="shared" si="168"/>
        <v>0</v>
      </c>
      <c r="BS64" s="52">
        <f t="shared" si="168"/>
        <v>0</v>
      </c>
      <c r="BT64" s="52">
        <f t="shared" si="168"/>
        <v>0</v>
      </c>
      <c r="BU64" s="52">
        <f t="shared" si="168"/>
        <v>0</v>
      </c>
      <c r="BV64" s="52">
        <f t="shared" si="168"/>
        <v>167.2511386871338</v>
      </c>
      <c r="BW64" s="52">
        <f t="shared" si="168"/>
        <v>125.43835401535034</v>
      </c>
      <c r="BX64" s="52">
        <f t="shared" si="168"/>
        <v>94.07876551151276</v>
      </c>
      <c r="BY64" s="52">
        <f t="shared" si="168"/>
        <v>70.55907413363457</v>
      </c>
      <c r="BZ64" s="52">
        <f t="shared" si="168"/>
        <v>52.919305600225925</v>
      </c>
      <c r="CD64" s="53" t="s">
        <v>133</v>
      </c>
      <c r="CE64" s="70"/>
      <c r="CF64" s="52">
        <f>CF59*$C$39</f>
        <v>0</v>
      </c>
      <c r="CG64" s="52">
        <f aca="true" t="shared" si="169" ref="CG64:CT64">CG59*$C$39</f>
        <v>0</v>
      </c>
      <c r="CH64" s="52">
        <f t="shared" si="169"/>
        <v>0</v>
      </c>
      <c r="CI64" s="52">
        <f t="shared" si="169"/>
        <v>0</v>
      </c>
      <c r="CJ64" s="52">
        <f t="shared" si="169"/>
        <v>0</v>
      </c>
      <c r="CK64" s="52">
        <f t="shared" si="169"/>
        <v>0</v>
      </c>
      <c r="CL64" s="52">
        <f t="shared" si="169"/>
        <v>0</v>
      </c>
      <c r="CM64" s="52">
        <f t="shared" si="169"/>
        <v>0</v>
      </c>
      <c r="CN64" s="52">
        <f t="shared" si="169"/>
        <v>0</v>
      </c>
      <c r="CO64" s="52">
        <f t="shared" si="169"/>
        <v>0</v>
      </c>
      <c r="CP64" s="52">
        <f t="shared" si="169"/>
        <v>167.2511386871338</v>
      </c>
      <c r="CQ64" s="52">
        <f t="shared" si="169"/>
        <v>125.43835401535034</v>
      </c>
      <c r="CR64" s="52">
        <f t="shared" si="169"/>
        <v>94.07876551151276</v>
      </c>
      <c r="CS64" s="52">
        <f t="shared" si="169"/>
        <v>70.55907413363457</v>
      </c>
      <c r="CT64" s="52">
        <f t="shared" si="169"/>
        <v>52.919305600225925</v>
      </c>
      <c r="CX64" s="53" t="s">
        <v>133</v>
      </c>
      <c r="CY64" s="70"/>
      <c r="CZ64" s="52">
        <f>CZ59*$C$39</f>
        <v>0</v>
      </c>
      <c r="DA64" s="52">
        <f aca="true" t="shared" si="170" ref="DA64:DN64">DA59*$C$39</f>
        <v>0</v>
      </c>
      <c r="DB64" s="52">
        <f t="shared" si="170"/>
        <v>0</v>
      </c>
      <c r="DC64" s="52">
        <f t="shared" si="170"/>
        <v>0</v>
      </c>
      <c r="DD64" s="52">
        <f t="shared" si="170"/>
        <v>0</v>
      </c>
      <c r="DE64" s="52">
        <f t="shared" si="170"/>
        <v>0</v>
      </c>
      <c r="DF64" s="52">
        <f t="shared" si="170"/>
        <v>0</v>
      </c>
      <c r="DG64" s="52">
        <f t="shared" si="170"/>
        <v>0</v>
      </c>
      <c r="DH64" s="52">
        <f t="shared" si="170"/>
        <v>0</v>
      </c>
      <c r="DI64" s="52">
        <f t="shared" si="170"/>
        <v>0</v>
      </c>
      <c r="DJ64" s="52">
        <f t="shared" si="170"/>
        <v>167.2511386871338</v>
      </c>
      <c r="DK64" s="52">
        <f t="shared" si="170"/>
        <v>125.43835401535034</v>
      </c>
      <c r="DL64" s="52">
        <f t="shared" si="170"/>
        <v>94.07876551151276</v>
      </c>
      <c r="DM64" s="52">
        <f t="shared" si="170"/>
        <v>70.55907413363457</v>
      </c>
      <c r="DN64" s="52">
        <f t="shared" si="170"/>
        <v>52.919305600225925</v>
      </c>
      <c r="DO64" s="70" t="e">
        <f>CZ55+#REF!</f>
        <v>#REF!</v>
      </c>
    </row>
    <row r="65" spans="2:119" ht="15" thickBot="1">
      <c r="B65" s="175" t="str">
        <f>J43</f>
        <v>-2 % mindre stigning elpris</v>
      </c>
      <c r="C65" s="70" t="s">
        <v>129</v>
      </c>
      <c r="D65" s="70"/>
      <c r="E65" s="70"/>
      <c r="F65" s="70"/>
      <c r="G65" s="70">
        <f>AO13</f>
        <v>-295879.4826897576</v>
      </c>
      <c r="I65" s="70"/>
      <c r="J65" s="52">
        <f>CC13</f>
        <v>-295859.1323912928</v>
      </c>
      <c r="K65" s="70">
        <f>J65-G65</f>
        <v>20.350298464822117</v>
      </c>
      <c r="L65" s="53"/>
      <c r="M65" s="53"/>
      <c r="P65" s="53"/>
      <c r="V65" s="125" t="s">
        <v>134</v>
      </c>
      <c r="W65" s="310"/>
      <c r="X65" s="311">
        <f>SUM(X63:X64)</f>
        <v>-20200</v>
      </c>
      <c r="Y65" s="311">
        <f aca="true" t="shared" si="171" ref="Y65:AL65">SUM(Y63:Y64)</f>
        <v>-15225</v>
      </c>
      <c r="Z65" s="311">
        <f t="shared" si="171"/>
        <v>-11421.75</v>
      </c>
      <c r="AA65" s="311">
        <f t="shared" si="171"/>
        <v>-8497.26</v>
      </c>
      <c r="AB65" s="311">
        <f t="shared" si="171"/>
        <v>-6231.780825</v>
      </c>
      <c r="AC65" s="311">
        <f t="shared" si="171"/>
        <v>-4460.493504</v>
      </c>
      <c r="AD65" s="311">
        <f t="shared" si="171"/>
        <v>-3059.7762818925</v>
      </c>
      <c r="AE65" s="311">
        <f t="shared" si="171"/>
        <v>-1936.9048548741002</v>
      </c>
      <c r="AF65" s="311">
        <f t="shared" si="171"/>
        <v>-1022.3275222879884</v>
      </c>
      <c r="AG65" s="311">
        <f t="shared" si="171"/>
        <v>-1013.871524520076</v>
      </c>
      <c r="AH65" s="311">
        <f t="shared" si="171"/>
        <v>-531.8520385108782</v>
      </c>
      <c r="AI65" s="311">
        <f t="shared" si="171"/>
        <v>-288.1325486230812</v>
      </c>
      <c r="AJ65" s="311">
        <f t="shared" si="171"/>
        <v>-107.46278869178241</v>
      </c>
      <c r="AK65" s="311">
        <f t="shared" si="171"/>
        <v>26.060527267963607</v>
      </c>
      <c r="AL65" s="311">
        <f t="shared" si="171"/>
        <v>124.3768433470591</v>
      </c>
      <c r="AP65" s="125" t="s">
        <v>134</v>
      </c>
      <c r="AQ65" s="310"/>
      <c r="AR65" s="311">
        <f>SUM(AR63:AR64)</f>
        <v>-20459.375</v>
      </c>
      <c r="AS65" s="311">
        <f aca="true" t="shared" si="172" ref="AS65:BF65">SUM(AS63:AS64)</f>
        <v>-15473.4375</v>
      </c>
      <c r="AT65" s="311">
        <f t="shared" si="172"/>
        <v>-11670.1875</v>
      </c>
      <c r="AU65" s="311">
        <f t="shared" si="172"/>
        <v>-8745.6975</v>
      </c>
      <c r="AV65" s="311">
        <f t="shared" si="172"/>
        <v>-6480.218325</v>
      </c>
      <c r="AW65" s="311">
        <f t="shared" si="172"/>
        <v>-4708.931004</v>
      </c>
      <c r="AX65" s="311">
        <f t="shared" si="172"/>
        <v>-3308.2137818925</v>
      </c>
      <c r="AY65" s="311">
        <f t="shared" si="172"/>
        <v>-2185.3423548741002</v>
      </c>
      <c r="AZ65" s="311">
        <f t="shared" si="172"/>
        <v>-1270.7650222879884</v>
      </c>
      <c r="BA65" s="311">
        <f t="shared" si="172"/>
        <v>-512.309024520076</v>
      </c>
      <c r="BB65" s="311">
        <f t="shared" si="172"/>
        <v>-697.4770385108782</v>
      </c>
      <c r="BC65" s="311">
        <f t="shared" si="172"/>
        <v>-453.7575486230812</v>
      </c>
      <c r="BD65" s="311">
        <f t="shared" si="172"/>
        <v>-273.0877886917824</v>
      </c>
      <c r="BE65" s="311">
        <f t="shared" si="172"/>
        <v>-139.56447273203617</v>
      </c>
      <c r="BF65" s="311">
        <f t="shared" si="172"/>
        <v>-41.24815665294068</v>
      </c>
      <c r="BJ65" s="125" t="s">
        <v>134</v>
      </c>
      <c r="BK65" s="310"/>
      <c r="BL65" s="311">
        <f>SUM(BL63:BL64)</f>
        <v>-20200</v>
      </c>
      <c r="BM65" s="311">
        <f aca="true" t="shared" si="173" ref="BM65:BZ65">SUM(BM63:BM64)</f>
        <v>-15230</v>
      </c>
      <c r="BN65" s="311">
        <f t="shared" si="173"/>
        <v>-11432.15</v>
      </c>
      <c r="BO65" s="311">
        <f t="shared" si="173"/>
        <v>-8513.484499999999</v>
      </c>
      <c r="BP65" s="311">
        <f t="shared" si="173"/>
        <v>-6254.280185</v>
      </c>
      <c r="BQ65" s="311">
        <f t="shared" si="173"/>
        <v>-4489.74537605</v>
      </c>
      <c r="BR65" s="311">
        <f t="shared" si="173"/>
        <v>-3096.2871179165</v>
      </c>
      <c r="BS65" s="311">
        <f t="shared" si="173"/>
        <v>-1981.211494181945</v>
      </c>
      <c r="BT65" s="311">
        <f t="shared" si="173"/>
        <v>-1074.9988628883498</v>
      </c>
      <c r="BU65" s="311">
        <f t="shared" si="173"/>
        <v>-325.510282557394</v>
      </c>
      <c r="BV65" s="311">
        <f t="shared" si="173"/>
        <v>-603.0966003692079</v>
      </c>
      <c r="BW65" s="311">
        <f t="shared" si="173"/>
        <v>-369.6589204710481</v>
      </c>
      <c r="BX65" s="311">
        <f t="shared" si="173"/>
        <v>-199.98664848576982</v>
      </c>
      <c r="BY65" s="311">
        <f t="shared" si="173"/>
        <v>-78.21832994995407</v>
      </c>
      <c r="BZ65" s="311">
        <f t="shared" si="173"/>
        <v>7.541374700987717</v>
      </c>
      <c r="CD65" s="125" t="s">
        <v>134</v>
      </c>
      <c r="CE65" s="310"/>
      <c r="CF65" s="311">
        <f>SUM(CF63:CF64)</f>
        <v>-19487.5</v>
      </c>
      <c r="CG65" s="311">
        <f aca="true" t="shared" si="174" ref="CG65:CT65">SUM(CG63:CG64)</f>
        <v>-14587.5</v>
      </c>
      <c r="CH65" s="311">
        <f t="shared" si="174"/>
        <v>-10859.25</v>
      </c>
      <c r="CI65" s="311">
        <f t="shared" si="174"/>
        <v>-8009.76</v>
      </c>
      <c r="CJ65" s="311">
        <f t="shared" si="174"/>
        <v>-5819.280825</v>
      </c>
      <c r="CK65" s="311">
        <f t="shared" si="174"/>
        <v>-4122.993504</v>
      </c>
      <c r="CL65" s="311">
        <f t="shared" si="174"/>
        <v>-2797.2762818925</v>
      </c>
      <c r="CM65" s="311">
        <f t="shared" si="174"/>
        <v>-1749.4048548741002</v>
      </c>
      <c r="CN65" s="311">
        <f t="shared" si="174"/>
        <v>-909.8275222879884</v>
      </c>
      <c r="CO65" s="311">
        <f t="shared" si="174"/>
        <v>-226.37152452007604</v>
      </c>
      <c r="CP65" s="311">
        <f t="shared" si="174"/>
        <v>-531.8520385108782</v>
      </c>
      <c r="CQ65" s="311">
        <f t="shared" si="174"/>
        <v>-288.1325486230812</v>
      </c>
      <c r="CR65" s="311">
        <f t="shared" si="174"/>
        <v>-107.46278869178241</v>
      </c>
      <c r="CS65" s="311">
        <f t="shared" si="174"/>
        <v>26.060527267963607</v>
      </c>
      <c r="CT65" s="311">
        <f t="shared" si="174"/>
        <v>124.3768433470591</v>
      </c>
      <c r="CX65" s="125" t="s">
        <v>134</v>
      </c>
      <c r="CY65" s="310"/>
      <c r="CZ65" s="311">
        <f>SUM(CZ63:CZ64)</f>
        <v>-19732.5</v>
      </c>
      <c r="DA65" s="311">
        <f aca="true" t="shared" si="175" ref="DA65:DN65">SUM(DA63:DA64)</f>
        <v>-14857.5</v>
      </c>
      <c r="DB65" s="311">
        <f t="shared" si="175"/>
        <v>-11155.5</v>
      </c>
      <c r="DC65" s="311">
        <f t="shared" si="175"/>
        <v>-8333.5725</v>
      </c>
      <c r="DD65" s="311">
        <f t="shared" si="175"/>
        <v>-6172.03395</v>
      </c>
      <c r="DE65" s="311">
        <f t="shared" si="175"/>
        <v>-4506.13428525</v>
      </c>
      <c r="DF65" s="311">
        <f t="shared" si="175"/>
        <v>-3212.324102205</v>
      </c>
      <c r="DG65" s="311">
        <f t="shared" si="175"/>
        <v>-2197.9550662022248</v>
      </c>
      <c r="DH65" s="311">
        <f t="shared" si="175"/>
        <v>-1393.5552441825193</v>
      </c>
      <c r="DI65" s="311">
        <f t="shared" si="175"/>
        <v>-747.0356325093339</v>
      </c>
      <c r="DJ65" s="311">
        <f t="shared" si="175"/>
        <v>-1176.2993518995986</v>
      </c>
      <c r="DK65" s="311">
        <f t="shared" si="175"/>
        <v>-973.3022276812376</v>
      </c>
      <c r="DL65" s="311">
        <f t="shared" si="175"/>
        <v>-835.3909517028469</v>
      </c>
      <c r="DM65" s="311">
        <f t="shared" si="175"/>
        <v>-746.7640438936539</v>
      </c>
      <c r="DN65" s="311">
        <f t="shared" si="175"/>
        <v>-695.5889563726394</v>
      </c>
      <c r="DO65" s="169" t="e">
        <f>DO64*#REF!</f>
        <v>#REF!</v>
      </c>
    </row>
    <row r="66" spans="2:40" ht="15" thickTop="1">
      <c r="B66" s="160"/>
      <c r="C66" s="70" t="s">
        <v>115</v>
      </c>
      <c r="D66" s="70"/>
      <c r="E66" s="70"/>
      <c r="F66" s="70"/>
      <c r="G66" s="70">
        <f>AL44</f>
        <v>304314.5611718006</v>
      </c>
      <c r="I66" s="70"/>
      <c r="J66" s="70">
        <f>BZ44</f>
        <v>211940.33284959348</v>
      </c>
      <c r="K66" s="70">
        <f>J66-G66</f>
        <v>-92374.22832220711</v>
      </c>
      <c r="L66" s="53"/>
      <c r="M66" s="53"/>
      <c r="P66" s="53"/>
      <c r="W66" s="70"/>
      <c r="Y66" s="70"/>
      <c r="AA66" s="70"/>
      <c r="AC66" s="70"/>
      <c r="AE66" s="70"/>
      <c r="AG66" s="70"/>
      <c r="AI66" s="70"/>
      <c r="AK66" s="70"/>
      <c r="AN66" s="52"/>
    </row>
    <row r="67" spans="3:102" ht="14.25">
      <c r="C67" s="70"/>
      <c r="D67" s="70"/>
      <c r="E67" s="70"/>
      <c r="F67" s="70"/>
      <c r="G67" s="70"/>
      <c r="I67" s="70"/>
      <c r="K67" s="53"/>
      <c r="L67" s="53"/>
      <c r="M67" s="53"/>
      <c r="P67" s="53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CX67" s="53" t="s">
        <v>106</v>
      </c>
    </row>
    <row r="68" spans="3:41" ht="14.25">
      <c r="C68" s="70"/>
      <c r="D68" s="70"/>
      <c r="E68" s="70"/>
      <c r="F68" s="70"/>
      <c r="G68" s="70"/>
      <c r="I68" s="70"/>
      <c r="K68" s="53"/>
      <c r="L68" s="53"/>
      <c r="M68" s="53"/>
      <c r="P68" s="53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N68" s="70"/>
      <c r="AO68" s="70"/>
    </row>
    <row r="69" spans="3:41" ht="14.25">
      <c r="C69" s="70"/>
      <c r="D69" s="70"/>
      <c r="E69" s="70"/>
      <c r="F69" s="70"/>
      <c r="G69" s="70"/>
      <c r="I69" s="70"/>
      <c r="K69" s="53"/>
      <c r="L69" s="53"/>
      <c r="M69" s="53"/>
      <c r="P69" s="53"/>
      <c r="V69" s="170"/>
      <c r="W69" s="170"/>
      <c r="X69" s="170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M69" s="70"/>
      <c r="AN69" s="169"/>
      <c r="AO69" s="169"/>
    </row>
    <row r="70" spans="2:24" ht="14.25">
      <c r="B70" s="175" t="str">
        <f>J45</f>
        <v>+/- 1 % ændring af rente</v>
      </c>
      <c r="C70" s="70" t="s">
        <v>129</v>
      </c>
      <c r="D70" s="70"/>
      <c r="E70" s="70"/>
      <c r="F70" s="70"/>
      <c r="G70" s="70">
        <f>G65</f>
        <v>-295879.4826897576</v>
      </c>
      <c r="I70" s="70"/>
      <c r="J70" s="70">
        <f>CW13</f>
        <v>-277879.4826897576</v>
      </c>
      <c r="K70" s="70">
        <f>J70-G70</f>
        <v>18000</v>
      </c>
      <c r="L70" s="53"/>
      <c r="M70" s="53"/>
      <c r="P70" s="53"/>
      <c r="V70" s="170"/>
      <c r="W70" s="170"/>
      <c r="X70" s="170"/>
    </row>
    <row r="71" spans="3:24" ht="14.25">
      <c r="C71" s="70" t="s">
        <v>115</v>
      </c>
      <c r="D71" s="70"/>
      <c r="E71" s="70"/>
      <c r="F71" s="70"/>
      <c r="G71" s="70">
        <f>G66</f>
        <v>304314.5611718006</v>
      </c>
      <c r="J71" s="70">
        <f>CT44</f>
        <v>314814.5611718006</v>
      </c>
      <c r="K71" s="70">
        <f>J71-G71</f>
        <v>10500</v>
      </c>
      <c r="L71" s="53"/>
      <c r="M71" s="53"/>
      <c r="P71" s="53"/>
      <c r="V71" s="170"/>
      <c r="W71" s="170"/>
      <c r="X71" s="170"/>
    </row>
    <row r="72" spans="11:24" ht="14.25">
      <c r="K72" s="53"/>
      <c r="L72" s="53"/>
      <c r="M72" s="53"/>
      <c r="P72" s="53"/>
      <c r="V72" s="170"/>
      <c r="W72" s="170"/>
      <c r="X72" s="170"/>
    </row>
    <row r="73" spans="11:24" ht="14.25">
      <c r="K73" s="53"/>
      <c r="L73" s="53"/>
      <c r="M73" s="53"/>
      <c r="P73" s="53"/>
      <c r="V73" s="170"/>
      <c r="W73" s="170"/>
      <c r="X73" s="170"/>
    </row>
    <row r="74" spans="11:24" ht="14.25">
      <c r="K74" s="53"/>
      <c r="L74" s="53"/>
      <c r="M74" s="53"/>
      <c r="P74" s="53"/>
      <c r="V74" s="170"/>
      <c r="W74" s="170"/>
      <c r="X74" s="170"/>
    </row>
    <row r="75" spans="11:23" ht="14.25">
      <c r="K75" s="53"/>
      <c r="L75" s="53"/>
      <c r="M75" s="53"/>
      <c r="P75" s="53"/>
      <c r="W75" s="53"/>
    </row>
    <row r="76" spans="11:23" ht="14.25">
      <c r="K76" s="53"/>
      <c r="L76" s="53"/>
      <c r="M76" s="53"/>
      <c r="P76" s="53"/>
      <c r="W76" s="53"/>
    </row>
    <row r="77" spans="11:23" ht="14.25">
      <c r="K77" s="53"/>
      <c r="L77" s="53"/>
      <c r="M77" s="53"/>
      <c r="P77" s="53"/>
      <c r="W77" s="53"/>
    </row>
    <row r="78" spans="11:23" ht="14.25">
      <c r="K78" s="53"/>
      <c r="L78" s="53"/>
      <c r="M78" s="53"/>
      <c r="P78" s="53"/>
      <c r="W78" s="53"/>
    </row>
    <row r="79" spans="11:23" ht="14.25">
      <c r="K79" s="53"/>
      <c r="L79" s="53"/>
      <c r="M79" s="53"/>
      <c r="P79" s="230"/>
      <c r="W79" s="53"/>
    </row>
    <row r="80" spans="11:23" ht="14.25">
      <c r="K80" s="53"/>
      <c r="L80" s="53"/>
      <c r="M80" s="53"/>
      <c r="P80" s="53"/>
      <c r="W80" s="53"/>
    </row>
    <row r="81" spans="11:23" ht="14.25">
      <c r="K81" s="53"/>
      <c r="L81" s="53"/>
      <c r="M81" s="53"/>
      <c r="P81" s="53"/>
      <c r="W81" s="53"/>
    </row>
    <row r="82" spans="11:23" ht="14.25">
      <c r="K82" s="53"/>
      <c r="L82" s="53"/>
      <c r="M82" s="53"/>
      <c r="P82" s="53"/>
      <c r="W82" s="53"/>
    </row>
    <row r="83" spans="11:23" ht="14.25">
      <c r="K83" s="53"/>
      <c r="L83" s="53"/>
      <c r="M83" s="53"/>
      <c r="P83" s="53"/>
      <c r="W83" s="53"/>
    </row>
    <row r="84" spans="11:23" ht="14.25">
      <c r="K84" s="53"/>
      <c r="L84" s="53"/>
      <c r="M84" s="53"/>
      <c r="P84" s="53"/>
      <c r="W84" s="53"/>
    </row>
    <row r="85" spans="11:23" ht="14.25">
      <c r="K85" s="53"/>
      <c r="L85" s="53"/>
      <c r="M85" s="53"/>
      <c r="P85" s="53"/>
      <c r="W85" s="53"/>
    </row>
    <row r="86" spans="11:23" ht="14.25">
      <c r="K86" s="53"/>
      <c r="L86" s="53"/>
      <c r="M86" s="53"/>
      <c r="P86" s="53"/>
      <c r="W86" s="53"/>
    </row>
    <row r="87" spans="11:23" ht="14.25">
      <c r="K87" s="53"/>
      <c r="L87" s="53"/>
      <c r="M87" s="53"/>
      <c r="P87" s="53"/>
      <c r="W87" s="53"/>
    </row>
    <row r="88" spans="8:23" ht="14.25">
      <c r="H88" s="71"/>
      <c r="K88" s="53"/>
      <c r="L88" s="53"/>
      <c r="M88" s="53"/>
      <c r="P88" s="53"/>
      <c r="W88" s="53"/>
    </row>
    <row r="89" spans="8:23" ht="14.25">
      <c r="H89" s="71"/>
      <c r="K89" s="53"/>
      <c r="L89" s="53"/>
      <c r="M89" s="53"/>
      <c r="P89" s="53"/>
      <c r="W89" s="53"/>
    </row>
    <row r="90" spans="8:23" ht="14.25">
      <c r="H90" s="71"/>
      <c r="K90" s="53"/>
      <c r="L90" s="53"/>
      <c r="M90" s="53"/>
      <c r="P90" s="53"/>
      <c r="W90" s="53"/>
    </row>
    <row r="91" spans="8:23" ht="14.25">
      <c r="H91" s="71"/>
      <c r="K91" s="53"/>
      <c r="L91" s="53"/>
      <c r="M91" s="53"/>
      <c r="P91" s="53"/>
      <c r="W91" s="53"/>
    </row>
    <row r="92" spans="8:16" ht="14.25">
      <c r="H92" s="71"/>
      <c r="K92" s="53"/>
      <c r="L92" s="53"/>
      <c r="M92" s="53"/>
      <c r="P92" s="53"/>
    </row>
    <row r="93" spans="8:16" ht="14.25">
      <c r="H93" s="71"/>
      <c r="K93" s="53"/>
      <c r="L93" s="53"/>
      <c r="M93" s="53"/>
      <c r="P93" s="53"/>
    </row>
    <row r="94" spans="8:16" ht="14.25">
      <c r="H94" s="71"/>
      <c r="K94" s="53"/>
      <c r="L94" s="53"/>
      <c r="M94" s="53"/>
      <c r="P94" s="53"/>
    </row>
    <row r="95" spans="8:16" ht="14.25">
      <c r="H95" s="71"/>
      <c r="K95" s="53"/>
      <c r="L95" s="53"/>
      <c r="M95" s="53"/>
      <c r="P95" s="53"/>
    </row>
    <row r="96" spans="8:16" ht="14.25">
      <c r="H96" s="71"/>
      <c r="K96" s="53"/>
      <c r="L96" s="53"/>
      <c r="M96" s="53"/>
      <c r="P96" s="53"/>
    </row>
    <row r="97" spans="8:16" ht="14.25">
      <c r="H97" s="71"/>
      <c r="K97" s="53"/>
      <c r="L97" s="53"/>
      <c r="M97" s="53"/>
      <c r="P97" s="53"/>
    </row>
    <row r="98" spans="8:16" ht="14.25">
      <c r="H98" s="71"/>
      <c r="K98" s="53"/>
      <c r="L98" s="53"/>
      <c r="M98" s="53"/>
      <c r="P98" s="53"/>
    </row>
    <row r="99" spans="8:16" ht="14.25">
      <c r="H99" s="71"/>
      <c r="K99" s="53"/>
      <c r="L99" s="53"/>
      <c r="M99" s="53"/>
      <c r="P99" s="53"/>
    </row>
    <row r="100" spans="8:16" ht="14.25">
      <c r="H100" s="71"/>
      <c r="K100" s="53"/>
      <c r="L100" s="53"/>
      <c r="M100" s="53"/>
      <c r="P100" s="53"/>
    </row>
    <row r="101" spans="8:16" ht="14.25">
      <c r="H101" s="71"/>
      <c r="K101" s="53"/>
      <c r="L101" s="53"/>
      <c r="M101" s="53"/>
      <c r="P101" s="53"/>
    </row>
    <row r="102" spans="8:16" ht="14.25">
      <c r="H102" s="71"/>
      <c r="K102" s="53"/>
      <c r="L102" s="53"/>
      <c r="M102" s="53"/>
      <c r="P102" s="53"/>
    </row>
    <row r="103" spans="1:16" ht="14.25">
      <c r="A103" s="70"/>
      <c r="H103" s="71"/>
      <c r="K103" s="53"/>
      <c r="L103" s="53"/>
      <c r="M103" s="53"/>
      <c r="P103" s="53"/>
    </row>
    <row r="104" spans="1:16" ht="14.25">
      <c r="A104" s="70"/>
      <c r="H104" s="71"/>
      <c r="K104" s="53"/>
      <c r="L104" s="53"/>
      <c r="M104" s="53"/>
      <c r="P104" s="53"/>
    </row>
    <row r="105" spans="1:16" ht="14.25">
      <c r="A105" s="70"/>
      <c r="H105" s="71"/>
      <c r="K105" s="53"/>
      <c r="L105" s="53"/>
      <c r="M105" s="53"/>
      <c r="P105" s="53"/>
    </row>
    <row r="106" spans="11:16" ht="14.25">
      <c r="K106" s="53"/>
      <c r="L106" s="53"/>
      <c r="M106" s="53"/>
      <c r="P106" s="53"/>
    </row>
    <row r="107" ht="14.25">
      <c r="B107" s="160"/>
    </row>
    <row r="108" spans="2:12" ht="14.25">
      <c r="B108" s="160"/>
      <c r="K108" s="53"/>
      <c r="L108" s="53"/>
    </row>
    <row r="109" spans="2:13" ht="14.25">
      <c r="B109" s="160"/>
      <c r="K109" s="53"/>
      <c r="L109" s="53"/>
      <c r="M109" s="53"/>
    </row>
    <row r="110" spans="2:13" ht="14.25">
      <c r="B110" s="160"/>
      <c r="K110" s="53"/>
      <c r="L110" s="53"/>
      <c r="M110" s="53"/>
    </row>
    <row r="111" spans="2:13" ht="14.25">
      <c r="B111" s="160"/>
      <c r="K111" s="53"/>
      <c r="L111" s="53"/>
      <c r="M111" s="53"/>
    </row>
    <row r="112" spans="2:13" ht="14.25">
      <c r="B112" s="160"/>
      <c r="K112" s="53"/>
      <c r="L112" s="53"/>
      <c r="M112" s="53"/>
    </row>
    <row r="113" spans="2:13" ht="14.25">
      <c r="B113" s="160"/>
      <c r="K113" s="53"/>
      <c r="L113" s="53"/>
      <c r="M113" s="53"/>
    </row>
    <row r="114" spans="2:13" ht="14.25">
      <c r="B114" s="160"/>
      <c r="K114" s="53"/>
      <c r="L114" s="53"/>
      <c r="M114" s="53"/>
    </row>
    <row r="115" spans="2:16" ht="14.25">
      <c r="B115" s="160"/>
      <c r="K115" s="53"/>
      <c r="L115" s="53"/>
      <c r="M115" s="53"/>
      <c r="P115" s="53"/>
    </row>
    <row r="116" spans="2:16" ht="14.25">
      <c r="B116" s="160"/>
      <c r="K116" s="53"/>
      <c r="L116" s="53"/>
      <c r="M116" s="53"/>
      <c r="P116" s="53"/>
    </row>
    <row r="117" spans="2:16" ht="14.25">
      <c r="B117" s="160"/>
      <c r="K117" s="53"/>
      <c r="L117" s="53"/>
      <c r="M117" s="53"/>
      <c r="P117" s="53"/>
    </row>
    <row r="118" spans="2:16" ht="14.25">
      <c r="B118" s="160"/>
      <c r="K118" s="53"/>
      <c r="L118" s="53"/>
      <c r="M118" s="53"/>
      <c r="P118" s="53"/>
    </row>
    <row r="119" spans="2:16" ht="14.25">
      <c r="B119" s="160"/>
      <c r="K119" s="53"/>
      <c r="L119" s="53"/>
      <c r="M119" s="53"/>
      <c r="P119" s="53"/>
    </row>
    <row r="120" spans="2:16" ht="14.25">
      <c r="B120" s="160"/>
      <c r="K120" s="53"/>
      <c r="L120" s="53"/>
      <c r="M120" s="53"/>
      <c r="P120" s="53"/>
    </row>
    <row r="121" spans="2:16" ht="14.25">
      <c r="B121" s="160"/>
      <c r="K121" s="53"/>
      <c r="L121" s="53"/>
      <c r="M121" s="53"/>
      <c r="P121" s="53"/>
    </row>
    <row r="122" spans="2:16" ht="14.25">
      <c r="B122" s="160"/>
      <c r="K122" s="53"/>
      <c r="L122" s="53"/>
      <c r="M122" s="53"/>
      <c r="P122" s="53"/>
    </row>
    <row r="123" spans="2:16" ht="14.25">
      <c r="B123" s="160"/>
      <c r="K123" s="53"/>
      <c r="L123" s="53"/>
      <c r="M123" s="53"/>
      <c r="P123" s="53"/>
    </row>
    <row r="124" spans="2:16" ht="14.25">
      <c r="B124" s="160"/>
      <c r="P124" s="53"/>
    </row>
    <row r="125" ht="14.25">
      <c r="B125" s="160"/>
    </row>
    <row r="126" ht="14.25">
      <c r="B126" s="160"/>
    </row>
    <row r="127" ht="14.25">
      <c r="B127" s="160"/>
    </row>
    <row r="128" ht="14.25">
      <c r="B128" s="160"/>
    </row>
    <row r="129" ht="14.25">
      <c r="B129" s="160"/>
    </row>
    <row r="130" ht="14.25">
      <c r="B130" s="160"/>
    </row>
    <row r="131" ht="14.25">
      <c r="B131" s="160"/>
    </row>
    <row r="132" ht="14.25">
      <c r="B132" s="160"/>
    </row>
    <row r="133" ht="14.25">
      <c r="B133" s="160"/>
    </row>
    <row r="134" ht="14.25">
      <c r="B134" s="160"/>
    </row>
    <row r="135" ht="14.25">
      <c r="B135" s="160"/>
    </row>
    <row r="136" ht="14.25">
      <c r="B136" s="160"/>
    </row>
    <row r="137" ht="14.25">
      <c r="B137" s="160"/>
    </row>
    <row r="138" ht="14.25">
      <c r="B138" s="160"/>
    </row>
    <row r="139" ht="14.25">
      <c r="B139" s="160"/>
    </row>
    <row r="140" ht="14.25">
      <c r="B140" s="160"/>
    </row>
    <row r="141" ht="14.25">
      <c r="B141" s="160"/>
    </row>
    <row r="142" ht="14.25">
      <c r="B142" s="160"/>
    </row>
    <row r="143" ht="14.25">
      <c r="B143" s="160"/>
    </row>
    <row r="144" ht="14.25">
      <c r="B144" s="160"/>
    </row>
    <row r="145" ht="14.25">
      <c r="B145" s="160"/>
    </row>
    <row r="146" ht="14.25">
      <c r="B146" s="160"/>
    </row>
    <row r="147" ht="14.25">
      <c r="B147" s="160"/>
    </row>
    <row r="148" ht="14.25">
      <c r="B148" s="160"/>
    </row>
    <row r="149" ht="14.25">
      <c r="B149" s="160"/>
    </row>
    <row r="150" ht="14.25">
      <c r="B150" s="160"/>
    </row>
    <row r="151" ht="14.25">
      <c r="B151" s="160"/>
    </row>
    <row r="152" ht="14.25">
      <c r="B152" s="160"/>
    </row>
    <row r="153" ht="14.25">
      <c r="B153" s="160"/>
    </row>
    <row r="154" ht="14.25">
      <c r="B154" s="160"/>
    </row>
    <row r="155" ht="14.25">
      <c r="B155" s="160"/>
    </row>
    <row r="156" ht="14.25">
      <c r="B156" s="160"/>
    </row>
    <row r="157" ht="14.25">
      <c r="B157" s="160"/>
    </row>
    <row r="158" ht="14.25">
      <c r="B158" s="160"/>
    </row>
    <row r="159" ht="14.25">
      <c r="B159" s="160"/>
    </row>
    <row r="160" ht="14.25">
      <c r="B160" s="160"/>
    </row>
    <row r="161" ht="14.25">
      <c r="B161" s="160"/>
    </row>
    <row r="162" ht="14.25">
      <c r="B162" s="160"/>
    </row>
    <row r="163" ht="14.25">
      <c r="B163" s="160"/>
    </row>
    <row r="164" ht="14.25">
      <c r="B164" s="160"/>
    </row>
    <row r="165" ht="14.25">
      <c r="B165" s="160"/>
    </row>
    <row r="166" ht="14.25">
      <c r="B166" s="160"/>
    </row>
    <row r="167" ht="14.25">
      <c r="B167" s="160"/>
    </row>
    <row r="168" ht="14.25">
      <c r="B168" s="160"/>
    </row>
    <row r="169" ht="14.25">
      <c r="B169" s="160"/>
    </row>
    <row r="170" ht="14.25">
      <c r="B170" s="160"/>
    </row>
    <row r="171" ht="14.25">
      <c r="B171" s="160"/>
    </row>
    <row r="172" ht="14.25">
      <c r="B172" s="160"/>
    </row>
    <row r="173" ht="14.25">
      <c r="B173" s="160"/>
    </row>
    <row r="174" ht="14.25">
      <c r="B174" s="160"/>
    </row>
    <row r="175" ht="14.25">
      <c r="B175" s="160"/>
    </row>
    <row r="176" ht="14.25">
      <c r="B176" s="160"/>
    </row>
    <row r="177" ht="14.25">
      <c r="B177" s="160"/>
    </row>
    <row r="178" ht="14.25">
      <c r="B178" s="160"/>
    </row>
    <row r="179" ht="14.25">
      <c r="B179" s="160"/>
    </row>
    <row r="180" ht="14.25">
      <c r="B180" s="160"/>
    </row>
    <row r="181" ht="14.25">
      <c r="B181" s="160"/>
    </row>
    <row r="182" ht="14.25">
      <c r="B182" s="160"/>
    </row>
    <row r="183" ht="14.25">
      <c r="B183" s="160"/>
    </row>
    <row r="184" ht="14.25">
      <c r="B184" s="160"/>
    </row>
    <row r="185" ht="14.25">
      <c r="B185" s="160"/>
    </row>
    <row r="186" ht="14.25">
      <c r="B186" s="160"/>
    </row>
    <row r="187" ht="14.25">
      <c r="B187" s="160"/>
    </row>
    <row r="188" ht="14.25">
      <c r="B188" s="160"/>
    </row>
    <row r="189" ht="14.25">
      <c r="B189" s="160"/>
    </row>
    <row r="190" ht="14.25">
      <c r="B190" s="160"/>
    </row>
    <row r="191" ht="14.25">
      <c r="B191" s="160"/>
    </row>
    <row r="192" ht="14.25">
      <c r="B192" s="160"/>
    </row>
    <row r="193" ht="14.25">
      <c r="B193" s="160"/>
    </row>
    <row r="194" ht="14.25">
      <c r="B194" s="160"/>
    </row>
    <row r="195" ht="14.25">
      <c r="B195" s="160"/>
    </row>
    <row r="196" ht="14.25">
      <c r="B196" s="160"/>
    </row>
    <row r="197" ht="14.25">
      <c r="B197" s="160"/>
    </row>
    <row r="198" ht="14.25">
      <c r="B198" s="160"/>
    </row>
    <row r="199" ht="14.25">
      <c r="B199" s="160"/>
    </row>
    <row r="200" ht="14.25">
      <c r="B200" s="160"/>
    </row>
    <row r="201" ht="14.25">
      <c r="B201" s="160"/>
    </row>
    <row r="202" ht="14.25">
      <c r="B202" s="160"/>
    </row>
    <row r="203" ht="14.25">
      <c r="B203" s="160"/>
    </row>
    <row r="204" ht="14.25">
      <c r="B204" s="160"/>
    </row>
    <row r="205" ht="14.25">
      <c r="B205" s="160"/>
    </row>
    <row r="206" ht="14.25">
      <c r="B206" s="160"/>
    </row>
    <row r="207" ht="14.25">
      <c r="B207" s="160"/>
    </row>
    <row r="208" ht="14.25">
      <c r="B208" s="160"/>
    </row>
    <row r="209" ht="14.25">
      <c r="B209" s="160"/>
    </row>
    <row r="210" ht="14.25">
      <c r="B210" s="160"/>
    </row>
    <row r="211" ht="14.25">
      <c r="B211" s="160"/>
    </row>
    <row r="212" ht="14.25">
      <c r="B212" s="160"/>
    </row>
    <row r="213" ht="14.25">
      <c r="B213" s="160"/>
    </row>
    <row r="214" ht="14.25">
      <c r="B214" s="160"/>
    </row>
    <row r="215" ht="14.25">
      <c r="B215" s="160"/>
    </row>
    <row r="216" ht="14.25">
      <c r="B216" s="160"/>
    </row>
    <row r="217" ht="14.25">
      <c r="B217" s="160"/>
    </row>
    <row r="218" ht="14.25">
      <c r="B218" s="160"/>
    </row>
    <row r="219" ht="14.25">
      <c r="B219" s="160"/>
    </row>
    <row r="220" ht="14.25">
      <c r="B220" s="160"/>
    </row>
    <row r="221" ht="14.25">
      <c r="B221" s="160"/>
    </row>
    <row r="222" ht="14.25">
      <c r="B222" s="160"/>
    </row>
    <row r="223" ht="14.25">
      <c r="B223" s="160"/>
    </row>
    <row r="224" ht="14.25">
      <c r="B224" s="160"/>
    </row>
    <row r="225" ht="14.25">
      <c r="B225" s="160"/>
    </row>
    <row r="226" ht="14.25">
      <c r="B226" s="160"/>
    </row>
    <row r="227" ht="14.25">
      <c r="B227" s="160"/>
    </row>
    <row r="228" ht="14.25">
      <c r="B228" s="160"/>
    </row>
    <row r="229" ht="14.25">
      <c r="B229" s="160"/>
    </row>
    <row r="230" ht="14.25">
      <c r="B230" s="160"/>
    </row>
    <row r="231" ht="14.25">
      <c r="B231" s="160"/>
    </row>
    <row r="232" ht="14.25">
      <c r="B232" s="160"/>
    </row>
    <row r="233" ht="14.25">
      <c r="B233" s="160"/>
    </row>
    <row r="234" ht="14.25">
      <c r="B234" s="160"/>
    </row>
    <row r="235" ht="14.25">
      <c r="B235" s="160"/>
    </row>
    <row r="236" ht="14.25">
      <c r="B236" s="160"/>
    </row>
    <row r="237" ht="14.25">
      <c r="B237" s="160"/>
    </row>
    <row r="238" ht="14.25">
      <c r="B238" s="160"/>
    </row>
    <row r="239" ht="14.25">
      <c r="B239" s="160"/>
    </row>
    <row r="240" ht="14.25">
      <c r="B240" s="160"/>
    </row>
    <row r="241" ht="14.25">
      <c r="B241" s="160"/>
    </row>
    <row r="242" ht="14.25">
      <c r="B242" s="160"/>
    </row>
    <row r="243" ht="14.25">
      <c r="B243" s="160"/>
    </row>
    <row r="244" ht="14.25">
      <c r="B244" s="160"/>
    </row>
    <row r="245" ht="14.25">
      <c r="B245" s="160"/>
    </row>
    <row r="246" ht="14.25">
      <c r="B246" s="160"/>
    </row>
    <row r="247" ht="14.25">
      <c r="B247" s="160"/>
    </row>
    <row r="248" ht="14.25">
      <c r="B248" s="160"/>
    </row>
    <row r="249" ht="14.25">
      <c r="B249" s="160"/>
    </row>
    <row r="250" ht="14.25">
      <c r="B250" s="160"/>
    </row>
    <row r="251" ht="14.25">
      <c r="B251" s="160"/>
    </row>
    <row r="252" ht="14.25">
      <c r="B252" s="160"/>
    </row>
    <row r="253" ht="14.25">
      <c r="B253" s="160"/>
    </row>
    <row r="254" ht="14.25">
      <c r="B254" s="160"/>
    </row>
    <row r="255" ht="14.25">
      <c r="B255" s="160"/>
    </row>
    <row r="256" ht="14.25">
      <c r="B256" s="160"/>
    </row>
    <row r="257" ht="14.25">
      <c r="B257" s="160"/>
    </row>
    <row r="258" ht="14.25">
      <c r="B258" s="160"/>
    </row>
    <row r="259" ht="14.25">
      <c r="B259" s="160"/>
    </row>
    <row r="260" ht="14.25">
      <c r="B260" s="160"/>
    </row>
    <row r="261" ht="14.25">
      <c r="B261" s="160"/>
    </row>
    <row r="262" ht="14.25">
      <c r="B262" s="160"/>
    </row>
    <row r="263" ht="14.25">
      <c r="B263" s="160"/>
    </row>
    <row r="264" ht="14.25">
      <c r="B264" s="160"/>
    </row>
    <row r="265" ht="14.25">
      <c r="B265" s="160"/>
    </row>
    <row r="266" ht="14.25">
      <c r="B266" s="160"/>
    </row>
    <row r="267" ht="14.25">
      <c r="B267" s="160"/>
    </row>
    <row r="268" ht="14.25">
      <c r="B268" s="160"/>
    </row>
    <row r="269" ht="14.25">
      <c r="B269" s="160"/>
    </row>
    <row r="270" ht="14.25">
      <c r="B270" s="160"/>
    </row>
    <row r="271" ht="14.25">
      <c r="B271" s="160"/>
    </row>
    <row r="272" ht="14.25">
      <c r="B272" s="160"/>
    </row>
    <row r="273" ht="14.25">
      <c r="B273" s="160"/>
    </row>
    <row r="274" ht="14.25">
      <c r="B274" s="160"/>
    </row>
    <row r="275" ht="14.25">
      <c r="B275" s="160"/>
    </row>
    <row r="276" ht="14.25">
      <c r="B276" s="160"/>
    </row>
    <row r="277" ht="14.25">
      <c r="B277" s="160"/>
    </row>
    <row r="278" ht="14.25">
      <c r="B278" s="160"/>
    </row>
    <row r="279" ht="14.25">
      <c r="B279" s="160"/>
    </row>
    <row r="280" ht="14.25">
      <c r="B280" s="160"/>
    </row>
    <row r="281" ht="14.25">
      <c r="B281" s="160"/>
    </row>
    <row r="282" ht="14.25">
      <c r="B282" s="160"/>
    </row>
    <row r="283" ht="14.25">
      <c r="B283" s="160"/>
    </row>
    <row r="284" ht="14.25">
      <c r="B284" s="160"/>
    </row>
    <row r="285" ht="14.25">
      <c r="B285" s="160"/>
    </row>
    <row r="286" ht="14.25">
      <c r="B286" s="160"/>
    </row>
    <row r="287" ht="14.25">
      <c r="B287" s="160"/>
    </row>
    <row r="288" ht="14.25">
      <c r="B288" s="160"/>
    </row>
    <row r="289" ht="14.25">
      <c r="B289" s="160"/>
    </row>
    <row r="290" ht="14.25">
      <c r="B290" s="160"/>
    </row>
    <row r="291" ht="14.25">
      <c r="B291" s="160"/>
    </row>
    <row r="292" ht="14.25">
      <c r="B292" s="160"/>
    </row>
    <row r="293" ht="14.25">
      <c r="B293" s="160"/>
    </row>
    <row r="294" ht="14.25">
      <c r="B294" s="160"/>
    </row>
    <row r="295" ht="14.25">
      <c r="B295" s="160"/>
    </row>
    <row r="296" ht="14.25">
      <c r="B296" s="160"/>
    </row>
    <row r="297" ht="14.25">
      <c r="B297" s="160"/>
    </row>
    <row r="298" ht="14.25">
      <c r="B298" s="160"/>
    </row>
    <row r="299" ht="14.25">
      <c r="B299" s="160"/>
    </row>
    <row r="300" ht="14.25">
      <c r="B300" s="160"/>
    </row>
    <row r="301" ht="14.25">
      <c r="B301" s="160"/>
    </row>
    <row r="302" ht="14.25">
      <c r="B302" s="160"/>
    </row>
    <row r="303" ht="14.25">
      <c r="B303" s="160"/>
    </row>
    <row r="304" ht="14.25">
      <c r="B304" s="160"/>
    </row>
    <row r="305" ht="14.25">
      <c r="B305" s="160"/>
    </row>
    <row r="306" ht="14.25">
      <c r="B306" s="160"/>
    </row>
    <row r="307" ht="14.25">
      <c r="B307" s="160"/>
    </row>
    <row r="308" ht="14.25">
      <c r="B308" s="160"/>
    </row>
    <row r="309" ht="14.25">
      <c r="B309" s="160"/>
    </row>
    <row r="310" ht="14.25">
      <c r="B310" s="160"/>
    </row>
    <row r="311" ht="14.25">
      <c r="B311" s="160"/>
    </row>
    <row r="312" ht="14.25">
      <c r="B312" s="160"/>
    </row>
    <row r="313" ht="14.25">
      <c r="B313" s="160"/>
    </row>
    <row r="314" ht="14.25">
      <c r="B314" s="160"/>
    </row>
    <row r="315" ht="14.25">
      <c r="B315" s="160"/>
    </row>
    <row r="316" ht="14.25">
      <c r="B316" s="160"/>
    </row>
    <row r="317" ht="14.25">
      <c r="B317" s="160"/>
    </row>
    <row r="318" ht="14.25">
      <c r="B318" s="160"/>
    </row>
    <row r="319" ht="14.25">
      <c r="B319" s="160"/>
    </row>
    <row r="320" ht="14.25">
      <c r="B320" s="160"/>
    </row>
    <row r="321" ht="14.25">
      <c r="B321" s="160"/>
    </row>
    <row r="322" ht="14.25">
      <c r="B322" s="160"/>
    </row>
    <row r="323" ht="14.25">
      <c r="B323" s="160"/>
    </row>
    <row r="324" ht="14.25">
      <c r="B324" s="160"/>
    </row>
    <row r="325" ht="14.25">
      <c r="B325" s="160"/>
    </row>
    <row r="326" ht="14.25">
      <c r="B326" s="160"/>
    </row>
    <row r="327" ht="14.25">
      <c r="B327" s="160"/>
    </row>
    <row r="328" ht="14.25">
      <c r="B328" s="160"/>
    </row>
    <row r="329" ht="14.25">
      <c r="B329" s="160"/>
    </row>
    <row r="330" ht="14.25">
      <c r="B330" s="160"/>
    </row>
    <row r="331" ht="14.25">
      <c r="B331" s="160"/>
    </row>
    <row r="332" ht="14.25">
      <c r="B332" s="160"/>
    </row>
    <row r="333" ht="14.25">
      <c r="B333" s="160"/>
    </row>
    <row r="334" ht="14.25">
      <c r="B334" s="160"/>
    </row>
    <row r="335" ht="14.25">
      <c r="B335" s="160"/>
    </row>
    <row r="336" ht="14.25">
      <c r="B336" s="160"/>
    </row>
    <row r="337" ht="14.25">
      <c r="B337" s="160"/>
    </row>
    <row r="338" ht="14.25">
      <c r="B338" s="160"/>
    </row>
    <row r="339" ht="14.25">
      <c r="B339" s="160"/>
    </row>
    <row r="340" ht="14.25">
      <c r="B340" s="160"/>
    </row>
    <row r="341" ht="14.25">
      <c r="B341" s="160"/>
    </row>
    <row r="342" ht="14.25">
      <c r="B342" s="160"/>
    </row>
    <row r="343" ht="14.25">
      <c r="B343" s="160"/>
    </row>
    <row r="344" ht="14.25">
      <c r="B344" s="160"/>
    </row>
    <row r="345" ht="14.25">
      <c r="B345" s="160"/>
    </row>
    <row r="346" ht="14.25">
      <c r="B346" s="160"/>
    </row>
    <row r="347" ht="14.25">
      <c r="B347" s="160"/>
    </row>
    <row r="348" ht="14.25">
      <c r="B348" s="160"/>
    </row>
    <row r="349" ht="14.25">
      <c r="B349" s="160"/>
    </row>
    <row r="350" ht="14.25">
      <c r="B350" s="160"/>
    </row>
    <row r="351" ht="14.25">
      <c r="B351" s="160"/>
    </row>
    <row r="352" ht="14.25">
      <c r="B352" s="160"/>
    </row>
    <row r="353" ht="14.25">
      <c r="B353" s="160"/>
    </row>
    <row r="354" ht="14.25">
      <c r="B354" s="160"/>
    </row>
    <row r="355" ht="14.25">
      <c r="B355" s="160"/>
    </row>
    <row r="356" ht="14.25">
      <c r="B356" s="160"/>
    </row>
    <row r="357" ht="14.25">
      <c r="B357" s="160"/>
    </row>
    <row r="358" ht="14.25">
      <c r="B358" s="160"/>
    </row>
    <row r="359" ht="14.25">
      <c r="B359" s="160"/>
    </row>
    <row r="360" ht="14.25">
      <c r="B360" s="160"/>
    </row>
    <row r="361" ht="14.25">
      <c r="B361" s="160"/>
    </row>
    <row r="362" ht="14.25">
      <c r="B362" s="160"/>
    </row>
    <row r="363" ht="14.25">
      <c r="B363" s="160"/>
    </row>
    <row r="364" ht="14.25">
      <c r="B364" s="160"/>
    </row>
    <row r="365" ht="14.25">
      <c r="B365" s="160"/>
    </row>
    <row r="366" ht="14.25">
      <c r="B366" s="160"/>
    </row>
    <row r="367" ht="14.25">
      <c r="B367" s="160"/>
    </row>
    <row r="368" ht="14.25">
      <c r="B368" s="160"/>
    </row>
    <row r="369" ht="14.25">
      <c r="B369" s="160"/>
    </row>
    <row r="370" ht="14.25">
      <c r="B370" s="160"/>
    </row>
    <row r="371" ht="14.25">
      <c r="B371" s="160"/>
    </row>
    <row r="372" ht="14.25">
      <c r="B372" s="160"/>
    </row>
    <row r="373" ht="14.25">
      <c r="B373" s="160"/>
    </row>
    <row r="374" ht="14.25">
      <c r="B374" s="160"/>
    </row>
    <row r="375" ht="14.25">
      <c r="B375" s="160"/>
    </row>
    <row r="376" ht="14.25">
      <c r="B376" s="160"/>
    </row>
    <row r="377" ht="14.25">
      <c r="B377" s="160"/>
    </row>
    <row r="378" ht="14.25">
      <c r="B378" s="160"/>
    </row>
    <row r="379" ht="14.25">
      <c r="B379" s="160"/>
    </row>
    <row r="380" ht="14.25">
      <c r="B380" s="160"/>
    </row>
    <row r="381" ht="14.25">
      <c r="B381" s="160"/>
    </row>
    <row r="382" ht="14.25">
      <c r="B382" s="160"/>
    </row>
    <row r="383" ht="14.25">
      <c r="B383" s="160"/>
    </row>
    <row r="384" ht="14.25">
      <c r="B384" s="160"/>
    </row>
    <row r="385" ht="14.25">
      <c r="B385" s="160"/>
    </row>
    <row r="386" ht="14.25">
      <c r="B386" s="160"/>
    </row>
    <row r="387" ht="14.25">
      <c r="B387" s="160"/>
    </row>
    <row r="388" ht="14.25">
      <c r="B388" s="160"/>
    </row>
    <row r="389" ht="14.25">
      <c r="B389" s="160"/>
    </row>
    <row r="390" ht="14.25">
      <c r="B390" s="160"/>
    </row>
    <row r="391" ht="14.25">
      <c r="B391" s="160"/>
    </row>
    <row r="392" ht="14.25">
      <c r="B392" s="160"/>
    </row>
    <row r="393" ht="14.25">
      <c r="B393" s="160"/>
    </row>
    <row r="394" ht="14.25">
      <c r="B394" s="160"/>
    </row>
    <row r="395" ht="14.25">
      <c r="B395" s="160"/>
    </row>
    <row r="396" ht="14.25">
      <c r="B396" s="160"/>
    </row>
    <row r="397" ht="14.25">
      <c r="B397" s="160"/>
    </row>
    <row r="398" ht="14.25">
      <c r="B398" s="160"/>
    </row>
    <row r="399" ht="14.25">
      <c r="B399" s="160"/>
    </row>
    <row r="400" ht="14.25">
      <c r="B400" s="160"/>
    </row>
    <row r="401" ht="14.25">
      <c r="B401" s="160"/>
    </row>
    <row r="402" ht="14.25">
      <c r="B402" s="160"/>
    </row>
    <row r="403" ht="14.25">
      <c r="B403" s="160"/>
    </row>
    <row r="404" ht="14.25">
      <c r="B404" s="160"/>
    </row>
    <row r="405" ht="14.25">
      <c r="B405" s="160"/>
    </row>
    <row r="406" ht="14.25">
      <c r="B406" s="160"/>
    </row>
    <row r="407" ht="14.25">
      <c r="B407" s="160"/>
    </row>
    <row r="408" ht="14.25">
      <c r="B408" s="160"/>
    </row>
    <row r="409" ht="14.25">
      <c r="B409" s="160"/>
    </row>
    <row r="410" ht="14.25">
      <c r="B410" s="160"/>
    </row>
    <row r="411" ht="14.25">
      <c r="B411" s="160"/>
    </row>
    <row r="412" ht="14.25">
      <c r="B412" s="160"/>
    </row>
    <row r="413" ht="14.25">
      <c r="B413" s="160"/>
    </row>
    <row r="414" ht="14.25">
      <c r="B414" s="160"/>
    </row>
    <row r="415" ht="14.25">
      <c r="B415" s="160"/>
    </row>
    <row r="416" ht="14.25">
      <c r="B416" s="160"/>
    </row>
    <row r="417" ht="14.25">
      <c r="B417" s="160"/>
    </row>
    <row r="418" ht="14.25">
      <c r="B418" s="160"/>
    </row>
    <row r="419" ht="14.25">
      <c r="B419" s="160"/>
    </row>
    <row r="420" ht="14.25">
      <c r="B420" s="160"/>
    </row>
    <row r="421" ht="14.25">
      <c r="B421" s="160"/>
    </row>
    <row r="422" ht="14.25">
      <c r="B422" s="160"/>
    </row>
    <row r="423" ht="14.25">
      <c r="B423" s="160"/>
    </row>
    <row r="424" ht="14.25">
      <c r="B424" s="160"/>
    </row>
    <row r="425" ht="14.25">
      <c r="B425" s="160"/>
    </row>
    <row r="426" ht="14.25">
      <c r="B426" s="160"/>
    </row>
    <row r="427" ht="14.25">
      <c r="B427" s="160"/>
    </row>
    <row r="428" ht="14.25">
      <c r="B428" s="160"/>
    </row>
    <row r="429" ht="14.25">
      <c r="B429" s="160"/>
    </row>
    <row r="430" ht="14.25">
      <c r="B430" s="160"/>
    </row>
    <row r="431" ht="14.25">
      <c r="B431" s="160"/>
    </row>
    <row r="432" ht="14.25">
      <c r="B432" s="160"/>
    </row>
    <row r="433" ht="14.25">
      <c r="B433" s="160"/>
    </row>
    <row r="434" ht="14.25">
      <c r="B434" s="160"/>
    </row>
    <row r="435" ht="14.25">
      <c r="B435" s="160"/>
    </row>
    <row r="436" ht="14.25">
      <c r="B436" s="160"/>
    </row>
    <row r="437" ht="14.25">
      <c r="B437" s="160"/>
    </row>
    <row r="438" ht="14.25">
      <c r="B438" s="160"/>
    </row>
    <row r="439" ht="14.25">
      <c r="B439" s="160"/>
    </row>
    <row r="440" ht="14.25">
      <c r="B440" s="160"/>
    </row>
    <row r="441" ht="14.25">
      <c r="B441" s="160"/>
    </row>
    <row r="442" ht="14.25">
      <c r="B442" s="160"/>
    </row>
    <row r="443" ht="14.25">
      <c r="B443" s="160"/>
    </row>
    <row r="444" ht="14.25">
      <c r="B444" s="160"/>
    </row>
    <row r="445" ht="14.25">
      <c r="B445" s="160"/>
    </row>
    <row r="446" ht="14.25">
      <c r="B446" s="160"/>
    </row>
    <row r="447" ht="14.25">
      <c r="B447" s="160"/>
    </row>
    <row r="448" ht="14.25">
      <c r="B448" s="160"/>
    </row>
    <row r="449" ht="14.25">
      <c r="B449" s="160"/>
    </row>
    <row r="450" ht="14.25">
      <c r="B450" s="160"/>
    </row>
    <row r="451" ht="14.25">
      <c r="B451" s="160"/>
    </row>
    <row r="452" ht="14.25">
      <c r="B452" s="160"/>
    </row>
    <row r="453" ht="14.25">
      <c r="B453" s="160"/>
    </row>
    <row r="454" ht="14.25">
      <c r="B454" s="160"/>
    </row>
    <row r="455" ht="14.25">
      <c r="B455" s="160"/>
    </row>
    <row r="456" ht="14.25">
      <c r="B456" s="160"/>
    </row>
    <row r="457" ht="14.25">
      <c r="B457" s="160"/>
    </row>
    <row r="458" ht="14.25">
      <c r="B458" s="160"/>
    </row>
    <row r="459" ht="14.25">
      <c r="B459" s="160"/>
    </row>
    <row r="460" ht="14.25">
      <c r="B460" s="160"/>
    </row>
    <row r="461" ht="14.25">
      <c r="B461" s="160"/>
    </row>
    <row r="462" ht="14.25">
      <c r="B462" s="160"/>
    </row>
    <row r="463" ht="14.25">
      <c r="B463" s="160"/>
    </row>
    <row r="464" ht="14.25">
      <c r="B464" s="160"/>
    </row>
    <row r="465" ht="14.25">
      <c r="B465" s="160"/>
    </row>
    <row r="466" ht="14.25">
      <c r="B466" s="160"/>
    </row>
    <row r="467" ht="14.25">
      <c r="B467" s="160"/>
    </row>
    <row r="468" ht="14.25">
      <c r="B468" s="160"/>
    </row>
    <row r="469" ht="14.25">
      <c r="B469" s="160"/>
    </row>
    <row r="470" ht="14.25">
      <c r="B470" s="160"/>
    </row>
    <row r="471" ht="14.25">
      <c r="B471" s="160"/>
    </row>
    <row r="472" ht="14.25">
      <c r="B472" s="160"/>
    </row>
    <row r="473" ht="14.25">
      <c r="B473" s="160"/>
    </row>
    <row r="474" ht="14.25">
      <c r="B474" s="160"/>
    </row>
    <row r="475" ht="14.25">
      <c r="B475" s="160"/>
    </row>
    <row r="476" ht="14.25">
      <c r="B476" s="160"/>
    </row>
    <row r="477" ht="14.25">
      <c r="B477" s="160"/>
    </row>
    <row r="478" ht="14.25">
      <c r="B478" s="160"/>
    </row>
    <row r="479" ht="14.25">
      <c r="B479" s="160"/>
    </row>
    <row r="480" ht="14.25">
      <c r="B480" s="160"/>
    </row>
    <row r="481" ht="14.25">
      <c r="B481" s="160"/>
    </row>
    <row r="482" ht="14.25">
      <c r="B482" s="160"/>
    </row>
    <row r="483" ht="14.25">
      <c r="B483" s="160"/>
    </row>
    <row r="484" ht="14.25">
      <c r="B484" s="160"/>
    </row>
    <row r="485" ht="14.25">
      <c r="B485" s="160"/>
    </row>
    <row r="486" ht="14.25">
      <c r="B486" s="160"/>
    </row>
    <row r="487" ht="14.25">
      <c r="B487" s="160"/>
    </row>
    <row r="488" ht="14.25">
      <c r="B488" s="160"/>
    </row>
    <row r="489" ht="14.25">
      <c r="B489" s="160"/>
    </row>
    <row r="490" ht="14.25">
      <c r="B490" s="160"/>
    </row>
    <row r="491" ht="14.25">
      <c r="B491" s="160"/>
    </row>
    <row r="492" ht="14.25">
      <c r="B492" s="160"/>
    </row>
    <row r="493" ht="14.25">
      <c r="B493" s="160"/>
    </row>
    <row r="494" ht="14.25">
      <c r="B494" s="160"/>
    </row>
    <row r="495" ht="14.25">
      <c r="B495" s="160"/>
    </row>
    <row r="496" ht="14.25">
      <c r="B496" s="160"/>
    </row>
    <row r="497" ht="14.25">
      <c r="B497" s="160"/>
    </row>
    <row r="498" ht="14.25">
      <c r="B498" s="160"/>
    </row>
    <row r="499" ht="14.25">
      <c r="B499" s="160"/>
    </row>
    <row r="500" ht="14.25">
      <c r="B500" s="160"/>
    </row>
    <row r="501" ht="14.25">
      <c r="B501" s="160"/>
    </row>
    <row r="502" ht="14.25">
      <c r="B502" s="160"/>
    </row>
    <row r="503" ht="14.25">
      <c r="B503" s="160"/>
    </row>
    <row r="504" ht="14.25">
      <c r="B504" s="160"/>
    </row>
    <row r="505" ht="14.25">
      <c r="B505" s="160"/>
    </row>
    <row r="506" ht="14.25">
      <c r="B506" s="160"/>
    </row>
    <row r="507" ht="14.25">
      <c r="B507" s="160"/>
    </row>
    <row r="508" ht="14.25">
      <c r="B508" s="160"/>
    </row>
    <row r="509" ht="14.25">
      <c r="B509" s="160"/>
    </row>
    <row r="510" ht="14.25">
      <c r="B510" s="160"/>
    </row>
    <row r="511" ht="14.25">
      <c r="B511" s="160"/>
    </row>
    <row r="512" ht="14.25">
      <c r="B512" s="160"/>
    </row>
    <row r="513" ht="14.25">
      <c r="B513" s="160"/>
    </row>
    <row r="514" ht="14.25">
      <c r="B514" s="160"/>
    </row>
    <row r="515" ht="14.25">
      <c r="B515" s="160"/>
    </row>
    <row r="516" ht="14.25">
      <c r="B516" s="160"/>
    </row>
    <row r="517" ht="14.25">
      <c r="B517" s="160"/>
    </row>
    <row r="518" ht="14.25">
      <c r="B518" s="160"/>
    </row>
    <row r="519" ht="14.25">
      <c r="B519" s="160"/>
    </row>
    <row r="520" ht="14.25">
      <c r="B520" s="160"/>
    </row>
    <row r="521" ht="14.25">
      <c r="B521" s="160"/>
    </row>
    <row r="522" ht="14.25">
      <c r="B522" s="160"/>
    </row>
    <row r="523" ht="14.25">
      <c r="B523" s="160"/>
    </row>
    <row r="524" ht="14.25">
      <c r="B524" s="160"/>
    </row>
    <row r="525" ht="14.25">
      <c r="B525" s="160"/>
    </row>
    <row r="526" ht="14.25">
      <c r="B526" s="160"/>
    </row>
    <row r="527" ht="14.25">
      <c r="B527" s="160"/>
    </row>
    <row r="528" ht="14.25">
      <c r="B528" s="160"/>
    </row>
    <row r="529" ht="14.25">
      <c r="B529" s="160"/>
    </row>
    <row r="530" ht="14.25">
      <c r="B530" s="160"/>
    </row>
    <row r="531" ht="14.25">
      <c r="B531" s="160"/>
    </row>
    <row r="532" ht="14.25">
      <c r="B532" s="160"/>
    </row>
    <row r="533" ht="14.25">
      <c r="B533" s="160"/>
    </row>
    <row r="534" ht="14.25">
      <c r="B534" s="160"/>
    </row>
    <row r="535" ht="14.25">
      <c r="B535" s="160"/>
    </row>
    <row r="536" ht="14.25">
      <c r="B536" s="160"/>
    </row>
    <row r="537" ht="14.25">
      <c r="B537" s="160"/>
    </row>
    <row r="538" ht="14.25">
      <c r="B538" s="160"/>
    </row>
    <row r="539" ht="14.25">
      <c r="B539" s="160"/>
    </row>
    <row r="540" ht="14.25">
      <c r="B540" s="160"/>
    </row>
    <row r="541" ht="14.25">
      <c r="B541" s="160"/>
    </row>
    <row r="542" ht="14.25">
      <c r="B542" s="160"/>
    </row>
    <row r="543" ht="14.25">
      <c r="B543" s="160"/>
    </row>
    <row r="544" ht="14.25">
      <c r="B544" s="160"/>
    </row>
    <row r="545" ht="14.25">
      <c r="B545" s="160"/>
    </row>
    <row r="546" ht="14.25">
      <c r="B546" s="160"/>
    </row>
    <row r="547" ht="14.25">
      <c r="B547" s="160"/>
    </row>
    <row r="548" ht="14.25">
      <c r="B548" s="160"/>
    </row>
    <row r="549" ht="14.25">
      <c r="B549" s="160"/>
    </row>
    <row r="550" ht="14.25">
      <c r="B550" s="160"/>
    </row>
    <row r="551" ht="14.25">
      <c r="B551" s="160"/>
    </row>
    <row r="552" ht="14.25">
      <c r="B552" s="160"/>
    </row>
    <row r="553" ht="14.25">
      <c r="B553" s="160"/>
    </row>
    <row r="554" ht="14.25">
      <c r="B554" s="160"/>
    </row>
    <row r="555" ht="14.25">
      <c r="B555" s="160"/>
    </row>
    <row r="556" ht="14.25">
      <c r="B556" s="160"/>
    </row>
    <row r="557" ht="14.25">
      <c r="B557" s="160"/>
    </row>
    <row r="558" ht="14.25">
      <c r="B558" s="160"/>
    </row>
    <row r="559" ht="14.25">
      <c r="B559" s="160"/>
    </row>
    <row r="560" ht="14.25">
      <c r="B560" s="160"/>
    </row>
    <row r="561" ht="14.25">
      <c r="B561" s="160"/>
    </row>
    <row r="562" ht="14.25">
      <c r="B562" s="160"/>
    </row>
    <row r="563" ht="14.25">
      <c r="B563" s="160"/>
    </row>
    <row r="564" ht="14.25">
      <c r="B564" s="160"/>
    </row>
    <row r="565" ht="14.25">
      <c r="B565" s="160"/>
    </row>
    <row r="566" ht="14.25">
      <c r="B566" s="160"/>
    </row>
    <row r="567" ht="14.25">
      <c r="B567" s="160"/>
    </row>
    <row r="568" ht="14.25">
      <c r="B568" s="160"/>
    </row>
    <row r="569" ht="14.25">
      <c r="B569" s="160"/>
    </row>
    <row r="570" ht="14.25">
      <c r="B570" s="160"/>
    </row>
    <row r="571" ht="14.25">
      <c r="B571" s="160"/>
    </row>
    <row r="572" ht="14.25">
      <c r="B572" s="160"/>
    </row>
    <row r="573" ht="14.25">
      <c r="B573" s="160"/>
    </row>
    <row r="574" ht="14.25">
      <c r="B574" s="160"/>
    </row>
    <row r="575" ht="14.25">
      <c r="B575" s="160"/>
    </row>
    <row r="576" ht="14.25">
      <c r="B576" s="160"/>
    </row>
    <row r="577" ht="14.25">
      <c r="B577" s="160"/>
    </row>
    <row r="578" ht="14.25">
      <c r="B578" s="160"/>
    </row>
    <row r="579" ht="14.25">
      <c r="B579" s="160"/>
    </row>
    <row r="580" ht="14.25">
      <c r="B580" s="160"/>
    </row>
    <row r="581" ht="14.25">
      <c r="B581" s="160"/>
    </row>
    <row r="582" ht="14.25">
      <c r="B582" s="160"/>
    </row>
    <row r="583" ht="14.25">
      <c r="B583" s="160"/>
    </row>
    <row r="584" ht="14.25">
      <c r="B584" s="160"/>
    </row>
    <row r="585" ht="14.25">
      <c r="B585" s="160"/>
    </row>
    <row r="586" ht="14.25">
      <c r="B586" s="160"/>
    </row>
    <row r="587" ht="14.25">
      <c r="B587" s="160"/>
    </row>
    <row r="588" ht="14.25">
      <c r="B588" s="160"/>
    </row>
    <row r="589" ht="14.25">
      <c r="B589" s="160"/>
    </row>
    <row r="590" ht="14.25">
      <c r="B590" s="160"/>
    </row>
    <row r="591" ht="14.25">
      <c r="B591" s="160"/>
    </row>
    <row r="592" ht="14.25">
      <c r="B592" s="160"/>
    </row>
    <row r="593" ht="14.25">
      <c r="B593" s="160"/>
    </row>
    <row r="594" ht="14.25">
      <c r="B594" s="160"/>
    </row>
    <row r="595" ht="14.25">
      <c r="B595" s="160"/>
    </row>
    <row r="596" ht="14.25">
      <c r="B596" s="160"/>
    </row>
    <row r="597" ht="14.25">
      <c r="B597" s="160"/>
    </row>
    <row r="598" ht="14.25">
      <c r="B598" s="160"/>
    </row>
    <row r="599" ht="14.25">
      <c r="B599" s="160"/>
    </row>
    <row r="600" ht="14.25">
      <c r="B600" s="160"/>
    </row>
    <row r="601" ht="14.25">
      <c r="B601" s="160"/>
    </row>
    <row r="602" ht="14.25">
      <c r="B602" s="160"/>
    </row>
    <row r="603" ht="14.25">
      <c r="B603" s="160"/>
    </row>
    <row r="604" ht="14.25">
      <c r="B604" s="160"/>
    </row>
    <row r="605" ht="14.25">
      <c r="B605" s="160"/>
    </row>
    <row r="606" ht="14.25">
      <c r="B606" s="160"/>
    </row>
    <row r="607" ht="14.25">
      <c r="B607" s="160"/>
    </row>
    <row r="608" ht="14.25">
      <c r="B608" s="160"/>
    </row>
    <row r="609" ht="14.25">
      <c r="B609" s="160"/>
    </row>
    <row r="610" ht="14.25">
      <c r="B610" s="160"/>
    </row>
    <row r="611" ht="14.25">
      <c r="B611" s="160"/>
    </row>
    <row r="612" ht="14.25">
      <c r="B612" s="160"/>
    </row>
    <row r="613" ht="14.25">
      <c r="B613" s="160"/>
    </row>
    <row r="614" ht="14.25">
      <c r="B614" s="160"/>
    </row>
    <row r="615" ht="14.25">
      <c r="B615" s="160"/>
    </row>
    <row r="616" ht="14.25">
      <c r="B616" s="160"/>
    </row>
    <row r="617" ht="14.25">
      <c r="B617" s="160"/>
    </row>
    <row r="618" ht="14.25">
      <c r="B618" s="160"/>
    </row>
    <row r="619" ht="14.25">
      <c r="B619" s="160"/>
    </row>
    <row r="620" ht="14.25">
      <c r="B620" s="160"/>
    </row>
    <row r="621" ht="14.25">
      <c r="B621" s="160"/>
    </row>
    <row r="622" ht="14.25">
      <c r="B622" s="160"/>
    </row>
    <row r="623" ht="14.25">
      <c r="B623" s="160"/>
    </row>
    <row r="624" ht="14.25">
      <c r="B624" s="160"/>
    </row>
    <row r="625" ht="14.25">
      <c r="B625" s="160"/>
    </row>
    <row r="626" ht="14.25">
      <c r="B626" s="160"/>
    </row>
    <row r="627" ht="14.25">
      <c r="B627" s="160"/>
    </row>
    <row r="628" ht="14.25">
      <c r="B628" s="160"/>
    </row>
    <row r="629" ht="14.25">
      <c r="B629" s="160"/>
    </row>
    <row r="630" ht="14.25">
      <c r="B630" s="160"/>
    </row>
    <row r="631" ht="14.25">
      <c r="B631" s="160"/>
    </row>
    <row r="632" ht="14.25">
      <c r="B632" s="160"/>
    </row>
    <row r="633" ht="14.25">
      <c r="B633" s="160"/>
    </row>
    <row r="634" ht="14.25">
      <c r="B634" s="160"/>
    </row>
    <row r="635" ht="14.25">
      <c r="B635" s="160"/>
    </row>
    <row r="636" ht="14.25">
      <c r="B636" s="160"/>
    </row>
    <row r="637" ht="14.25">
      <c r="B637" s="160"/>
    </row>
    <row r="638" ht="14.25">
      <c r="B638" s="160"/>
    </row>
    <row r="639" ht="14.25">
      <c r="B639" s="160"/>
    </row>
    <row r="640" ht="14.25">
      <c r="B640" s="160"/>
    </row>
    <row r="641" ht="14.25">
      <c r="B641" s="160"/>
    </row>
    <row r="642" ht="14.25">
      <c r="B642" s="160"/>
    </row>
    <row r="643" ht="14.25">
      <c r="B643" s="160"/>
    </row>
    <row r="644" ht="14.25">
      <c r="B644" s="160"/>
    </row>
    <row r="645" ht="14.25">
      <c r="B645" s="160"/>
    </row>
    <row r="646" ht="14.25">
      <c r="B646" s="160"/>
    </row>
    <row r="647" ht="14.25">
      <c r="B647" s="160"/>
    </row>
    <row r="648" ht="14.25">
      <c r="B648" s="160"/>
    </row>
    <row r="649" ht="14.25">
      <c r="B649" s="160"/>
    </row>
    <row r="650" ht="14.25">
      <c r="B650" s="160"/>
    </row>
    <row r="651" ht="14.25">
      <c r="B651" s="160"/>
    </row>
    <row r="652" ht="14.25">
      <c r="B652" s="160"/>
    </row>
    <row r="653" ht="14.25">
      <c r="B653" s="160"/>
    </row>
    <row r="654" ht="14.25">
      <c r="B654" s="160"/>
    </row>
    <row r="655" ht="14.25">
      <c r="B655" s="160"/>
    </row>
    <row r="656" ht="14.25">
      <c r="B656" s="160"/>
    </row>
    <row r="657" ht="14.25">
      <c r="B657" s="160"/>
    </row>
    <row r="658" ht="14.25">
      <c r="B658" s="160"/>
    </row>
    <row r="659" ht="14.25">
      <c r="B659" s="160"/>
    </row>
    <row r="660" ht="14.25">
      <c r="B660" s="160"/>
    </row>
    <row r="661" ht="14.25">
      <c r="B661" s="160"/>
    </row>
    <row r="662" ht="14.25">
      <c r="B662" s="160"/>
    </row>
    <row r="663" ht="14.25">
      <c r="B663" s="160"/>
    </row>
    <row r="664" ht="14.25">
      <c r="B664" s="160"/>
    </row>
    <row r="665" ht="14.25">
      <c r="B665" s="160"/>
    </row>
    <row r="666" ht="14.25">
      <c r="B666" s="160"/>
    </row>
    <row r="667" ht="14.25">
      <c r="B667" s="160"/>
    </row>
    <row r="668" ht="14.25">
      <c r="B668" s="160"/>
    </row>
    <row r="669" ht="14.25">
      <c r="B669" s="160"/>
    </row>
    <row r="670" ht="14.25">
      <c r="B670" s="160"/>
    </row>
    <row r="671" ht="14.25">
      <c r="B671" s="160"/>
    </row>
    <row r="672" ht="14.25">
      <c r="B672" s="160"/>
    </row>
    <row r="673" ht="14.25">
      <c r="B673" s="160"/>
    </row>
    <row r="674" ht="14.25">
      <c r="B674" s="160"/>
    </row>
    <row r="675" ht="14.25">
      <c r="B675" s="160"/>
    </row>
    <row r="676" ht="14.25">
      <c r="B676" s="160"/>
    </row>
    <row r="677" ht="14.25">
      <c r="B677" s="160"/>
    </row>
    <row r="678" ht="14.25">
      <c r="B678" s="160"/>
    </row>
    <row r="679" ht="14.25">
      <c r="B679" s="160"/>
    </row>
    <row r="680" ht="14.25">
      <c r="B680" s="160"/>
    </row>
    <row r="681" ht="14.25">
      <c r="B681" s="160"/>
    </row>
    <row r="682" ht="14.25">
      <c r="B682" s="160"/>
    </row>
    <row r="683" ht="14.25">
      <c r="B683" s="160"/>
    </row>
    <row r="684" ht="14.25">
      <c r="B684" s="160"/>
    </row>
    <row r="685" ht="14.25">
      <c r="B685" s="160"/>
    </row>
    <row r="686" ht="14.25">
      <c r="B686" s="160"/>
    </row>
    <row r="687" ht="14.25">
      <c r="B687" s="160"/>
    </row>
    <row r="688" ht="14.25">
      <c r="B688" s="160"/>
    </row>
    <row r="689" ht="14.25">
      <c r="B689" s="160"/>
    </row>
    <row r="690" ht="14.25">
      <c r="B690" s="160"/>
    </row>
    <row r="691" ht="14.25">
      <c r="B691" s="160"/>
    </row>
    <row r="692" ht="14.25">
      <c r="B692" s="160"/>
    </row>
    <row r="693" ht="14.25">
      <c r="B693" s="160"/>
    </row>
    <row r="694" ht="14.25">
      <c r="B694" s="160"/>
    </row>
    <row r="695" ht="14.25">
      <c r="B695" s="160"/>
    </row>
    <row r="696" ht="14.25">
      <c r="B696" s="160"/>
    </row>
    <row r="697" ht="14.25">
      <c r="B697" s="160"/>
    </row>
    <row r="698" ht="14.25">
      <c r="B698" s="160"/>
    </row>
    <row r="699" ht="14.25">
      <c r="B699" s="160"/>
    </row>
    <row r="700" ht="14.25">
      <c r="B700" s="160"/>
    </row>
    <row r="701" ht="14.25">
      <c r="B701" s="160"/>
    </row>
    <row r="702" ht="14.25">
      <c r="B702" s="160"/>
    </row>
    <row r="703" ht="14.25">
      <c r="B703" s="160"/>
    </row>
    <row r="704" ht="14.25">
      <c r="B704" s="160"/>
    </row>
    <row r="705" ht="14.25">
      <c r="B705" s="160"/>
    </row>
    <row r="706" ht="14.25">
      <c r="B706" s="160"/>
    </row>
    <row r="707" ht="14.25">
      <c r="B707" s="160"/>
    </row>
    <row r="708" ht="14.25">
      <c r="B708" s="160"/>
    </row>
    <row r="709" ht="14.25">
      <c r="B709" s="160"/>
    </row>
    <row r="710" ht="14.25">
      <c r="B710" s="160"/>
    </row>
    <row r="711" ht="14.25">
      <c r="B711" s="160"/>
    </row>
    <row r="712" ht="14.25">
      <c r="B712" s="160"/>
    </row>
    <row r="713" ht="14.25">
      <c r="B713" s="160"/>
    </row>
    <row r="714" ht="14.25">
      <c r="B714" s="160"/>
    </row>
    <row r="715" ht="14.25">
      <c r="B715" s="160"/>
    </row>
    <row r="716" ht="14.25">
      <c r="B716" s="160"/>
    </row>
    <row r="717" ht="14.25">
      <c r="B717" s="160"/>
    </row>
    <row r="718" ht="14.25">
      <c r="B718" s="160"/>
    </row>
    <row r="719" ht="14.25">
      <c r="B719" s="160"/>
    </row>
    <row r="720" ht="14.25">
      <c r="B720" s="160"/>
    </row>
    <row r="721" ht="14.25">
      <c r="B721" s="160"/>
    </row>
    <row r="722" ht="14.25">
      <c r="B722" s="160"/>
    </row>
    <row r="723" ht="14.25">
      <c r="B723" s="160"/>
    </row>
    <row r="724" ht="14.25">
      <c r="B724" s="160"/>
    </row>
    <row r="725" ht="14.25">
      <c r="B725" s="160"/>
    </row>
    <row r="726" ht="14.25">
      <c r="B726" s="160"/>
    </row>
    <row r="727" ht="14.25">
      <c r="B727" s="160"/>
    </row>
    <row r="728" ht="14.25">
      <c r="B728" s="160"/>
    </row>
    <row r="729" ht="14.25">
      <c r="B729" s="160"/>
    </row>
    <row r="730" ht="14.25">
      <c r="B730" s="160"/>
    </row>
    <row r="731" ht="14.25">
      <c r="B731" s="160"/>
    </row>
    <row r="732" ht="14.25">
      <c r="B732" s="160"/>
    </row>
    <row r="733" ht="14.25">
      <c r="B733" s="160"/>
    </row>
    <row r="734" ht="14.25">
      <c r="B734" s="160"/>
    </row>
    <row r="735" ht="14.25">
      <c r="B735" s="160"/>
    </row>
    <row r="736" ht="14.25">
      <c r="B736" s="160"/>
    </row>
    <row r="737" ht="14.25">
      <c r="B737" s="160"/>
    </row>
    <row r="738" ht="14.25">
      <c r="B738" s="160"/>
    </row>
    <row r="739" ht="14.25">
      <c r="B739" s="160"/>
    </row>
    <row r="740" ht="14.25">
      <c r="B740" s="160"/>
    </row>
    <row r="741" ht="14.25">
      <c r="B741" s="160"/>
    </row>
    <row r="742" ht="14.25">
      <c r="B742" s="160"/>
    </row>
    <row r="743" ht="14.25">
      <c r="B743" s="160"/>
    </row>
    <row r="744" ht="14.25">
      <c r="B744" s="160"/>
    </row>
    <row r="745" ht="14.25">
      <c r="B745" s="160"/>
    </row>
    <row r="746" ht="14.25">
      <c r="B746" s="160"/>
    </row>
    <row r="747" ht="14.25">
      <c r="B747" s="160"/>
    </row>
    <row r="748" ht="14.25">
      <c r="B748" s="160"/>
    </row>
    <row r="749" ht="14.25">
      <c r="B749" s="160"/>
    </row>
    <row r="750" ht="14.25">
      <c r="B750" s="160"/>
    </row>
    <row r="751" ht="14.25">
      <c r="B751" s="160"/>
    </row>
    <row r="752" ht="14.25">
      <c r="B752" s="160"/>
    </row>
    <row r="753" ht="14.25">
      <c r="B753" s="160"/>
    </row>
    <row r="754" ht="14.25">
      <c r="B754" s="160"/>
    </row>
    <row r="755" ht="14.25">
      <c r="B755" s="160"/>
    </row>
    <row r="756" ht="14.25">
      <c r="B756" s="160"/>
    </row>
    <row r="757" ht="14.25">
      <c r="B757" s="160"/>
    </row>
    <row r="758" ht="14.25">
      <c r="B758" s="160"/>
    </row>
    <row r="759" ht="14.25">
      <c r="B759" s="160"/>
    </row>
    <row r="760" ht="14.25">
      <c r="B760" s="160"/>
    </row>
    <row r="761" ht="14.25">
      <c r="B761" s="160"/>
    </row>
    <row r="762" ht="14.25">
      <c r="B762" s="160"/>
    </row>
    <row r="763" ht="14.25">
      <c r="B763" s="160"/>
    </row>
    <row r="764" ht="14.25">
      <c r="B764" s="160"/>
    </row>
    <row r="765" ht="14.25">
      <c r="B765" s="160"/>
    </row>
    <row r="766" ht="14.25">
      <c r="B766" s="160"/>
    </row>
    <row r="767" ht="14.25">
      <c r="B767" s="160"/>
    </row>
    <row r="768" ht="14.25">
      <c r="B768" s="160"/>
    </row>
    <row r="769" ht="14.25">
      <c r="B769" s="160"/>
    </row>
    <row r="770" ht="14.25">
      <c r="B770" s="160"/>
    </row>
    <row r="771" ht="14.25">
      <c r="B771" s="160"/>
    </row>
    <row r="772" ht="14.25">
      <c r="B772" s="160"/>
    </row>
    <row r="773" ht="14.25">
      <c r="B773" s="160"/>
    </row>
    <row r="774" ht="14.25">
      <c r="B774" s="160"/>
    </row>
    <row r="775" ht="14.25">
      <c r="B775" s="160"/>
    </row>
    <row r="776" ht="14.25">
      <c r="B776" s="160"/>
    </row>
    <row r="777" ht="14.25">
      <c r="B777" s="160"/>
    </row>
    <row r="778" ht="14.25">
      <c r="B778" s="160"/>
    </row>
    <row r="779" ht="14.25">
      <c r="B779" s="160"/>
    </row>
    <row r="780" ht="14.25">
      <c r="B780" s="160"/>
    </row>
    <row r="781" ht="14.25">
      <c r="B781" s="160"/>
    </row>
    <row r="782" ht="14.25">
      <c r="B782" s="160"/>
    </row>
    <row r="783" ht="14.25">
      <c r="B783" s="160"/>
    </row>
    <row r="784" ht="14.25">
      <c r="B784" s="160"/>
    </row>
    <row r="785" ht="14.25">
      <c r="B785" s="160"/>
    </row>
    <row r="786" ht="14.25">
      <c r="B786" s="160"/>
    </row>
    <row r="787" ht="14.25">
      <c r="B787" s="160"/>
    </row>
    <row r="788" ht="14.25">
      <c r="B788" s="160"/>
    </row>
    <row r="789" ht="14.25">
      <c r="B789" s="160"/>
    </row>
    <row r="790" ht="14.25">
      <c r="B790" s="160"/>
    </row>
    <row r="791" ht="14.25">
      <c r="B791" s="160"/>
    </row>
    <row r="792" ht="14.25">
      <c r="B792" s="160"/>
    </row>
    <row r="793" ht="14.25">
      <c r="B793" s="160"/>
    </row>
    <row r="794" ht="14.25">
      <c r="B794" s="160"/>
    </row>
    <row r="795" ht="14.25">
      <c r="B795" s="160"/>
    </row>
    <row r="796" ht="14.25">
      <c r="B796" s="160"/>
    </row>
    <row r="797" ht="14.25">
      <c r="B797" s="160"/>
    </row>
    <row r="798" ht="14.25">
      <c r="B798" s="160"/>
    </row>
    <row r="799" ht="14.25">
      <c r="B799" s="160"/>
    </row>
    <row r="800" ht="14.25">
      <c r="B800" s="160"/>
    </row>
    <row r="801" ht="14.25">
      <c r="B801" s="160"/>
    </row>
    <row r="802" ht="14.25">
      <c r="B802" s="160"/>
    </row>
    <row r="803" ht="14.25">
      <c r="B803" s="160"/>
    </row>
    <row r="804" ht="14.25">
      <c r="B804" s="160"/>
    </row>
    <row r="805" ht="14.25">
      <c r="B805" s="160"/>
    </row>
    <row r="806" ht="14.25">
      <c r="B806" s="160"/>
    </row>
    <row r="807" ht="14.25">
      <c r="B807" s="160"/>
    </row>
    <row r="808" ht="14.25">
      <c r="B808" s="160"/>
    </row>
    <row r="809" ht="14.25">
      <c r="B809" s="160"/>
    </row>
    <row r="810" ht="14.25">
      <c r="B810" s="160"/>
    </row>
    <row r="811" ht="14.25">
      <c r="B811" s="160"/>
    </row>
    <row r="812" ht="14.25">
      <c r="B812" s="160"/>
    </row>
    <row r="813" ht="14.25">
      <c r="B813" s="160"/>
    </row>
    <row r="814" ht="14.25">
      <c r="B814" s="160"/>
    </row>
    <row r="815" ht="14.25">
      <c r="B815" s="160"/>
    </row>
    <row r="816" ht="14.25">
      <c r="B816" s="160"/>
    </row>
    <row r="817" ht="14.25">
      <c r="B817" s="160"/>
    </row>
    <row r="818" ht="14.25">
      <c r="B818" s="160"/>
    </row>
    <row r="819" ht="14.25">
      <c r="B819" s="160"/>
    </row>
    <row r="820" ht="14.25">
      <c r="B820" s="160"/>
    </row>
    <row r="821" ht="14.25">
      <c r="B821" s="160"/>
    </row>
    <row r="822" ht="14.25">
      <c r="B822" s="160"/>
    </row>
    <row r="823" ht="14.25">
      <c r="B823" s="160"/>
    </row>
    <row r="824" ht="14.25">
      <c r="B824" s="160"/>
    </row>
    <row r="825" ht="14.25">
      <c r="B825" s="160"/>
    </row>
    <row r="826" ht="14.25">
      <c r="B826" s="160"/>
    </row>
    <row r="827" ht="14.25">
      <c r="B827" s="160"/>
    </row>
    <row r="828" ht="14.25">
      <c r="B828" s="160"/>
    </row>
    <row r="829" ht="14.25">
      <c r="B829" s="160"/>
    </row>
    <row r="830" ht="14.25">
      <c r="B830" s="160"/>
    </row>
    <row r="831" ht="14.25">
      <c r="B831" s="160"/>
    </row>
    <row r="832" ht="14.25">
      <c r="B832" s="160"/>
    </row>
    <row r="833" ht="14.25">
      <c r="B833" s="160"/>
    </row>
    <row r="834" ht="14.25">
      <c r="B834" s="160"/>
    </row>
    <row r="835" ht="14.25">
      <c r="B835" s="160"/>
    </row>
    <row r="836" ht="14.25">
      <c r="B836" s="160"/>
    </row>
    <row r="837" ht="14.25">
      <c r="B837" s="160"/>
    </row>
    <row r="838" ht="14.25">
      <c r="B838" s="160"/>
    </row>
    <row r="839" ht="14.25">
      <c r="B839" s="160"/>
    </row>
    <row r="840" ht="14.25">
      <c r="B840" s="160"/>
    </row>
    <row r="841" ht="14.25">
      <c r="B841" s="160"/>
    </row>
    <row r="842" ht="14.25">
      <c r="B842" s="160"/>
    </row>
    <row r="843" ht="14.25">
      <c r="B843" s="160"/>
    </row>
    <row r="844" ht="14.25">
      <c r="B844" s="160"/>
    </row>
    <row r="845" ht="14.25">
      <c r="B845" s="160"/>
    </row>
    <row r="846" ht="14.25">
      <c r="B846" s="160"/>
    </row>
    <row r="847" ht="14.25">
      <c r="B847" s="160"/>
    </row>
    <row r="848" ht="14.25">
      <c r="B848" s="160"/>
    </row>
    <row r="849" ht="14.25">
      <c r="B849" s="160"/>
    </row>
    <row r="850" ht="14.25">
      <c r="B850" s="160"/>
    </row>
    <row r="851" ht="14.25">
      <c r="B851" s="160"/>
    </row>
    <row r="852" ht="14.25">
      <c r="B852" s="160"/>
    </row>
    <row r="853" ht="14.25">
      <c r="B853" s="160"/>
    </row>
    <row r="854" ht="14.25">
      <c r="B854" s="160"/>
    </row>
    <row r="855" ht="14.25">
      <c r="B855" s="160"/>
    </row>
    <row r="856" ht="14.25">
      <c r="B856" s="160"/>
    </row>
    <row r="857" ht="14.25">
      <c r="B857" s="160"/>
    </row>
    <row r="858" ht="14.25">
      <c r="B858" s="160"/>
    </row>
    <row r="859" ht="14.25">
      <c r="B859" s="160"/>
    </row>
    <row r="860" ht="14.25">
      <c r="B860" s="160"/>
    </row>
    <row r="861" ht="14.25">
      <c r="B861" s="160"/>
    </row>
    <row r="862" ht="14.25">
      <c r="B862" s="160"/>
    </row>
    <row r="863" ht="14.25">
      <c r="B863" s="160"/>
    </row>
    <row r="864" ht="14.25">
      <c r="B864" s="160"/>
    </row>
    <row r="865" ht="14.25">
      <c r="B865" s="160"/>
    </row>
    <row r="866" ht="14.25">
      <c r="B866" s="160"/>
    </row>
    <row r="867" ht="14.25">
      <c r="B867" s="160"/>
    </row>
    <row r="868" ht="14.25">
      <c r="B868" s="160"/>
    </row>
    <row r="869" ht="14.25">
      <c r="B869" s="160"/>
    </row>
    <row r="870" ht="14.25">
      <c r="B870" s="160"/>
    </row>
    <row r="871" ht="14.25">
      <c r="B871" s="160"/>
    </row>
    <row r="872" ht="14.25">
      <c r="B872" s="160"/>
    </row>
    <row r="873" ht="14.25">
      <c r="B873" s="160"/>
    </row>
    <row r="874" ht="14.25">
      <c r="B874" s="160"/>
    </row>
    <row r="875" ht="14.25">
      <c r="B875" s="160"/>
    </row>
    <row r="876" ht="14.25">
      <c r="B876" s="160"/>
    </row>
    <row r="877" ht="14.25">
      <c r="B877" s="160"/>
    </row>
    <row r="878" ht="14.25">
      <c r="B878" s="160"/>
    </row>
    <row r="879" ht="14.25">
      <c r="B879" s="160"/>
    </row>
    <row r="880" ht="14.25">
      <c r="B880" s="160"/>
    </row>
    <row r="881" ht="14.25">
      <c r="B881" s="160"/>
    </row>
    <row r="882" ht="14.25">
      <c r="B882" s="160"/>
    </row>
    <row r="883" ht="14.25">
      <c r="B883" s="160"/>
    </row>
    <row r="884" ht="14.25">
      <c r="B884" s="160"/>
    </row>
    <row r="885" ht="14.25">
      <c r="B885" s="160"/>
    </row>
    <row r="886" ht="14.25">
      <c r="B886" s="160"/>
    </row>
    <row r="887" ht="14.25">
      <c r="B887" s="160"/>
    </row>
    <row r="888" ht="14.25">
      <c r="B888" s="160"/>
    </row>
    <row r="889" ht="14.25">
      <c r="B889" s="160"/>
    </row>
    <row r="890" ht="14.25">
      <c r="B890" s="160"/>
    </row>
    <row r="891" ht="14.25">
      <c r="B891" s="160"/>
    </row>
    <row r="892" ht="14.25">
      <c r="B892" s="160"/>
    </row>
    <row r="893" ht="14.25">
      <c r="B893" s="160"/>
    </row>
    <row r="894" ht="14.25">
      <c r="B894" s="160"/>
    </row>
    <row r="895" ht="14.25">
      <c r="B895" s="160"/>
    </row>
    <row r="896" ht="14.25">
      <c r="B896" s="160"/>
    </row>
    <row r="897" ht="14.25">
      <c r="B897" s="160"/>
    </row>
    <row r="898" ht="14.25">
      <c r="B898" s="160"/>
    </row>
    <row r="899" ht="14.25">
      <c r="B899" s="160"/>
    </row>
    <row r="900" ht="14.25">
      <c r="B900" s="160"/>
    </row>
    <row r="901" ht="14.25">
      <c r="B901" s="160"/>
    </row>
    <row r="902" ht="14.25">
      <c r="B902" s="160"/>
    </row>
    <row r="903" ht="14.25">
      <c r="B903" s="160"/>
    </row>
    <row r="904" ht="14.25">
      <c r="B904" s="160"/>
    </row>
    <row r="905" ht="14.25">
      <c r="B905" s="160"/>
    </row>
    <row r="906" ht="14.25">
      <c r="B906" s="160"/>
    </row>
    <row r="907" ht="14.25">
      <c r="B907" s="160"/>
    </row>
    <row r="908" ht="14.25">
      <c r="B908" s="160"/>
    </row>
    <row r="909" ht="14.25">
      <c r="B909" s="160"/>
    </row>
    <row r="910" ht="14.25">
      <c r="B910" s="160"/>
    </row>
    <row r="911" ht="14.25">
      <c r="B911" s="160"/>
    </row>
    <row r="912" ht="14.25">
      <c r="B912" s="160"/>
    </row>
    <row r="913" ht="14.25">
      <c r="B913" s="160"/>
    </row>
    <row r="914" ht="14.25">
      <c r="B914" s="160"/>
    </row>
    <row r="915" ht="14.25">
      <c r="B915" s="160"/>
    </row>
    <row r="916" ht="14.25">
      <c r="B916" s="160"/>
    </row>
    <row r="917" ht="14.25">
      <c r="B917" s="160"/>
    </row>
    <row r="918" ht="14.25">
      <c r="B918" s="160"/>
    </row>
    <row r="919" ht="14.25">
      <c r="B919" s="160"/>
    </row>
    <row r="920" ht="14.25">
      <c r="B920" s="160"/>
    </row>
    <row r="921" ht="14.25">
      <c r="B921" s="160"/>
    </row>
    <row r="922" ht="14.25">
      <c r="B922" s="160"/>
    </row>
    <row r="923" ht="14.25">
      <c r="B923" s="160"/>
    </row>
    <row r="924" ht="14.25">
      <c r="B924" s="160"/>
    </row>
    <row r="925" ht="14.25">
      <c r="B925" s="160"/>
    </row>
    <row r="926" ht="14.25">
      <c r="B926" s="160"/>
    </row>
    <row r="927" ht="14.25">
      <c r="B927" s="160"/>
    </row>
    <row r="928" ht="14.25">
      <c r="B928" s="160"/>
    </row>
    <row r="929" ht="14.25">
      <c r="B929" s="160"/>
    </row>
    <row r="930" ht="14.25">
      <c r="B930" s="160"/>
    </row>
    <row r="931" ht="14.25">
      <c r="B931" s="160"/>
    </row>
    <row r="932" ht="14.25">
      <c r="B932" s="160"/>
    </row>
    <row r="933" ht="14.25">
      <c r="B933" s="160"/>
    </row>
    <row r="934" ht="14.25">
      <c r="B934" s="160"/>
    </row>
    <row r="935" ht="14.25">
      <c r="B935" s="160"/>
    </row>
    <row r="936" ht="14.25">
      <c r="B936" s="160"/>
    </row>
    <row r="937" ht="14.25">
      <c r="B937" s="160"/>
    </row>
    <row r="938" ht="14.25">
      <c r="B938" s="160"/>
    </row>
    <row r="939" ht="14.25">
      <c r="B939" s="160"/>
    </row>
    <row r="940" ht="14.25">
      <c r="B940" s="160"/>
    </row>
    <row r="941" ht="14.25">
      <c r="B941" s="160"/>
    </row>
    <row r="942" ht="14.25">
      <c r="B942" s="160"/>
    </row>
    <row r="943" ht="14.25">
      <c r="B943" s="160"/>
    </row>
    <row r="944" ht="14.25">
      <c r="B944" s="160"/>
    </row>
    <row r="945" ht="14.25">
      <c r="B945" s="160"/>
    </row>
    <row r="946" ht="14.25">
      <c r="B946" s="160"/>
    </row>
    <row r="947" ht="14.25">
      <c r="B947" s="160"/>
    </row>
    <row r="948" ht="14.25">
      <c r="B948" s="160"/>
    </row>
    <row r="949" ht="14.25">
      <c r="B949" s="160"/>
    </row>
    <row r="950" ht="14.25">
      <c r="B950" s="160"/>
    </row>
    <row r="951" ht="14.25">
      <c r="B951" s="160"/>
    </row>
    <row r="952" ht="14.25">
      <c r="B952" s="160"/>
    </row>
    <row r="953" ht="14.25">
      <c r="B953" s="160"/>
    </row>
    <row r="954" ht="14.25">
      <c r="B954" s="160"/>
    </row>
    <row r="955" ht="14.25">
      <c r="B955" s="160"/>
    </row>
    <row r="956" ht="14.25">
      <c r="B956" s="160"/>
    </row>
    <row r="957" ht="14.25">
      <c r="B957" s="160"/>
    </row>
    <row r="958" ht="14.25">
      <c r="B958" s="160"/>
    </row>
    <row r="959" ht="14.25">
      <c r="B959" s="160"/>
    </row>
    <row r="960" ht="14.25">
      <c r="B960" s="160"/>
    </row>
    <row r="961" ht="14.25">
      <c r="B961" s="160"/>
    </row>
    <row r="962" ht="14.25">
      <c r="B962" s="160"/>
    </row>
    <row r="963" ht="14.25">
      <c r="B963" s="160"/>
    </row>
    <row r="964" ht="14.25">
      <c r="B964" s="160"/>
    </row>
    <row r="965" ht="14.25">
      <c r="B965" s="160"/>
    </row>
    <row r="966" ht="14.25">
      <c r="B966" s="160"/>
    </row>
    <row r="967" ht="14.25">
      <c r="B967" s="160"/>
    </row>
    <row r="968" ht="14.25">
      <c r="B968" s="160"/>
    </row>
    <row r="969" ht="14.25">
      <c r="B969" s="160"/>
    </row>
    <row r="970" ht="14.25">
      <c r="B970" s="160"/>
    </row>
    <row r="971" ht="14.25">
      <c r="B971" s="160"/>
    </row>
    <row r="972" ht="14.25">
      <c r="B972" s="160"/>
    </row>
    <row r="973" ht="14.25">
      <c r="B973" s="160"/>
    </row>
    <row r="974" ht="14.25">
      <c r="B974" s="160"/>
    </row>
    <row r="975" ht="14.25">
      <c r="B975" s="160"/>
    </row>
    <row r="976" ht="14.25">
      <c r="B976" s="160"/>
    </row>
    <row r="977" ht="14.25">
      <c r="B977" s="160"/>
    </row>
    <row r="978" ht="14.25">
      <c r="B978" s="160"/>
    </row>
    <row r="979" ht="14.25">
      <c r="B979" s="160"/>
    </row>
    <row r="980" ht="14.25">
      <c r="B980" s="160"/>
    </row>
    <row r="981" ht="14.25">
      <c r="B981" s="160"/>
    </row>
    <row r="982" ht="14.25">
      <c r="B982" s="160"/>
    </row>
    <row r="983" ht="14.25">
      <c r="B983" s="160"/>
    </row>
    <row r="984" ht="14.25">
      <c r="B984" s="160"/>
    </row>
    <row r="985" ht="14.25">
      <c r="B985" s="160"/>
    </row>
    <row r="986" ht="14.25">
      <c r="B986" s="160"/>
    </row>
    <row r="987" ht="14.25">
      <c r="B987" s="160"/>
    </row>
    <row r="988" ht="14.25">
      <c r="B988" s="160"/>
    </row>
    <row r="989" ht="14.25">
      <c r="B989" s="160"/>
    </row>
    <row r="990" ht="14.25">
      <c r="B990" s="160"/>
    </row>
    <row r="991" ht="14.25">
      <c r="B991" s="160"/>
    </row>
    <row r="992" ht="14.25">
      <c r="B992" s="160"/>
    </row>
    <row r="993" ht="14.25">
      <c r="B993" s="160"/>
    </row>
    <row r="994" ht="14.25">
      <c r="B994" s="160"/>
    </row>
    <row r="995" ht="14.25">
      <c r="B995" s="160"/>
    </row>
    <row r="996" ht="14.25">
      <c r="B996" s="160"/>
    </row>
    <row r="997" ht="14.25">
      <c r="B997" s="160"/>
    </row>
    <row r="998" ht="14.25">
      <c r="B998" s="160"/>
    </row>
    <row r="999" ht="14.25">
      <c r="B999" s="160"/>
    </row>
    <row r="1000" ht="14.25">
      <c r="B1000" s="160"/>
    </row>
    <row r="1001" ht="14.25">
      <c r="B1001" s="160"/>
    </row>
    <row r="1002" ht="14.25">
      <c r="B1002" s="160"/>
    </row>
    <row r="1003" ht="14.25">
      <c r="B1003" s="160"/>
    </row>
    <row r="1004" ht="14.25">
      <c r="B1004" s="160"/>
    </row>
    <row r="1005" ht="14.25">
      <c r="B1005" s="160"/>
    </row>
    <row r="1006" ht="14.25">
      <c r="B1006" s="160"/>
    </row>
    <row r="1007" ht="14.25">
      <c r="B1007" s="160"/>
    </row>
    <row r="1008" ht="14.25">
      <c r="B1008" s="160"/>
    </row>
    <row r="1009" ht="14.25">
      <c r="B1009" s="160"/>
    </row>
    <row r="1010" ht="14.25">
      <c r="B1010" s="160"/>
    </row>
    <row r="1011" ht="14.25">
      <c r="B1011" s="160"/>
    </row>
    <row r="1012" ht="14.25">
      <c r="B1012" s="160"/>
    </row>
    <row r="1013" ht="14.25">
      <c r="B1013" s="160"/>
    </row>
    <row r="1014" ht="14.25">
      <c r="B1014" s="160"/>
    </row>
    <row r="1015" ht="14.25">
      <c r="B1015" s="160"/>
    </row>
    <row r="1016" ht="14.25">
      <c r="B1016" s="160"/>
    </row>
    <row r="1017" ht="14.25">
      <c r="B1017" s="160"/>
    </row>
    <row r="1018" ht="14.25">
      <c r="B1018" s="160"/>
    </row>
    <row r="1019" ht="14.25">
      <c r="B1019" s="160"/>
    </row>
    <row r="1020" ht="14.25">
      <c r="B1020" s="160"/>
    </row>
    <row r="1021" ht="14.25">
      <c r="B1021" s="160"/>
    </row>
    <row r="1022" ht="14.25">
      <c r="B1022" s="160"/>
    </row>
    <row r="1023" ht="14.25">
      <c r="B1023" s="160"/>
    </row>
    <row r="1024" ht="14.25">
      <c r="B1024" s="160"/>
    </row>
    <row r="1025" ht="14.25">
      <c r="B1025" s="160"/>
    </row>
    <row r="1026" ht="14.25">
      <c r="B1026" s="160"/>
    </row>
    <row r="1027" ht="14.25">
      <c r="B1027" s="160"/>
    </row>
    <row r="1028" ht="14.25">
      <c r="B1028" s="160"/>
    </row>
    <row r="1029" ht="14.25">
      <c r="B1029" s="160"/>
    </row>
    <row r="1030" ht="14.25">
      <c r="B1030" s="160"/>
    </row>
    <row r="1031" ht="14.25">
      <c r="B1031" s="160"/>
    </row>
    <row r="1032" ht="14.25">
      <c r="B1032" s="160"/>
    </row>
    <row r="1033" ht="14.25">
      <c r="B1033" s="160"/>
    </row>
    <row r="1034" ht="14.25">
      <c r="B1034" s="160"/>
    </row>
    <row r="1035" ht="14.25">
      <c r="B1035" s="160"/>
    </row>
    <row r="1036" ht="14.25">
      <c r="B1036" s="160"/>
    </row>
    <row r="1037" ht="14.25">
      <c r="B1037" s="160"/>
    </row>
    <row r="1038" ht="14.25">
      <c r="B1038" s="160"/>
    </row>
    <row r="1039" ht="14.25">
      <c r="B1039" s="160"/>
    </row>
    <row r="1040" ht="14.25">
      <c r="B1040" s="160"/>
    </row>
    <row r="1041" ht="14.25">
      <c r="B1041" s="160"/>
    </row>
    <row r="1042" ht="14.25">
      <c r="B1042" s="160"/>
    </row>
    <row r="1043" ht="14.25">
      <c r="B1043" s="160"/>
    </row>
    <row r="1044" ht="14.25">
      <c r="B1044" s="160"/>
    </row>
    <row r="1045" ht="14.25">
      <c r="B1045" s="160"/>
    </row>
    <row r="1046" ht="14.25">
      <c r="B1046" s="160"/>
    </row>
    <row r="1047" ht="14.25">
      <c r="B1047" s="160"/>
    </row>
    <row r="1048" ht="14.25">
      <c r="B1048" s="160"/>
    </row>
    <row r="1049" ht="14.25">
      <c r="B1049" s="160"/>
    </row>
    <row r="1050" ht="14.25">
      <c r="B1050" s="160"/>
    </row>
    <row r="1051" ht="14.25">
      <c r="B1051" s="160"/>
    </row>
    <row r="1052" ht="14.25">
      <c r="B1052" s="160"/>
    </row>
    <row r="1053" ht="14.25">
      <c r="B1053" s="160"/>
    </row>
    <row r="1054" ht="14.25">
      <c r="B1054" s="160"/>
    </row>
    <row r="1055" ht="14.25">
      <c r="B1055" s="160"/>
    </row>
    <row r="1056" ht="14.25">
      <c r="B1056" s="160"/>
    </row>
    <row r="1057" ht="14.25">
      <c r="B1057" s="160"/>
    </row>
    <row r="1058" ht="14.25">
      <c r="B1058" s="160"/>
    </row>
    <row r="1059" ht="14.25">
      <c r="B1059" s="160"/>
    </row>
    <row r="1060" ht="14.25">
      <c r="B1060" s="160"/>
    </row>
    <row r="1061" ht="14.25">
      <c r="B1061" s="160"/>
    </row>
    <row r="1062" ht="14.25">
      <c r="B1062" s="160"/>
    </row>
    <row r="1063" ht="14.25">
      <c r="B1063" s="160"/>
    </row>
    <row r="1064" ht="14.25">
      <c r="B1064" s="160"/>
    </row>
    <row r="1065" ht="14.25">
      <c r="B1065" s="160"/>
    </row>
    <row r="1066" ht="14.25">
      <c r="B1066" s="160"/>
    </row>
    <row r="1067" ht="14.25">
      <c r="B1067" s="160"/>
    </row>
    <row r="1068" ht="14.25">
      <c r="B1068" s="160"/>
    </row>
    <row r="1069" ht="14.25">
      <c r="B1069" s="160"/>
    </row>
    <row r="1070" ht="14.25">
      <c r="B1070" s="160"/>
    </row>
    <row r="1071" ht="14.25">
      <c r="B1071" s="160"/>
    </row>
    <row r="1072" ht="14.25">
      <c r="B1072" s="160"/>
    </row>
    <row r="1073" ht="14.25">
      <c r="B1073" s="160"/>
    </row>
    <row r="1074" ht="14.25">
      <c r="B1074" s="160"/>
    </row>
    <row r="1075" ht="14.25">
      <c r="B1075" s="160"/>
    </row>
    <row r="1076" ht="14.25">
      <c r="B1076" s="160"/>
    </row>
    <row r="1077" ht="14.25">
      <c r="B1077" s="160"/>
    </row>
    <row r="1078" ht="14.25">
      <c r="B1078" s="160"/>
    </row>
    <row r="1079" ht="14.25">
      <c r="B1079" s="160"/>
    </row>
    <row r="1080" ht="14.25">
      <c r="B1080" s="160"/>
    </row>
    <row r="1081" ht="14.25">
      <c r="B1081" s="160"/>
    </row>
    <row r="1082" ht="14.25">
      <c r="B1082" s="160"/>
    </row>
    <row r="1083" ht="14.25">
      <c r="B1083" s="160"/>
    </row>
    <row r="1084" ht="14.25">
      <c r="B1084" s="160"/>
    </row>
    <row r="1085" ht="14.25">
      <c r="B1085" s="160"/>
    </row>
    <row r="1086" ht="14.25">
      <c r="B1086" s="160"/>
    </row>
    <row r="1087" ht="14.25">
      <c r="B1087" s="160"/>
    </row>
    <row r="1088" ht="14.25">
      <c r="B1088" s="160"/>
    </row>
    <row r="1089" ht="14.25">
      <c r="B1089" s="160"/>
    </row>
    <row r="1090" ht="14.25">
      <c r="B1090" s="160"/>
    </row>
    <row r="1091" ht="14.25">
      <c r="B1091" s="160"/>
    </row>
    <row r="1092" ht="14.25">
      <c r="B1092" s="160"/>
    </row>
    <row r="1093" ht="14.25">
      <c r="B1093" s="160"/>
    </row>
    <row r="1094" ht="14.25">
      <c r="B1094" s="160"/>
    </row>
    <row r="1095" ht="14.25">
      <c r="B1095" s="160"/>
    </row>
    <row r="1096" ht="14.25">
      <c r="B1096" s="160"/>
    </row>
    <row r="1097" ht="14.25">
      <c r="B1097" s="160"/>
    </row>
    <row r="1098" ht="14.25">
      <c r="B1098" s="160"/>
    </row>
    <row r="1099" ht="14.25">
      <c r="B1099" s="160"/>
    </row>
    <row r="1100" ht="14.25">
      <c r="B1100" s="160"/>
    </row>
    <row r="1101" ht="14.25">
      <c r="B1101" s="160"/>
    </row>
    <row r="1102" ht="14.25">
      <c r="B1102" s="160"/>
    </row>
    <row r="1103" ht="14.25">
      <c r="B1103" s="160"/>
    </row>
    <row r="1104" ht="14.25">
      <c r="B1104" s="160"/>
    </row>
    <row r="1105" ht="14.25">
      <c r="B1105" s="160"/>
    </row>
    <row r="1106" ht="14.25">
      <c r="B1106" s="160"/>
    </row>
    <row r="1107" ht="14.25">
      <c r="B1107" s="160"/>
    </row>
    <row r="1108" ht="14.25">
      <c r="B1108" s="160"/>
    </row>
    <row r="1109" ht="14.25">
      <c r="B1109" s="160"/>
    </row>
    <row r="1110" ht="14.25">
      <c r="B1110" s="160"/>
    </row>
    <row r="1111" ht="14.25">
      <c r="B1111" s="160"/>
    </row>
    <row r="1112" ht="14.25">
      <c r="B1112" s="160"/>
    </row>
    <row r="1113" ht="14.25">
      <c r="B1113" s="160"/>
    </row>
    <row r="1114" ht="14.25">
      <c r="B1114" s="160"/>
    </row>
    <row r="1115" ht="14.25">
      <c r="B1115" s="160"/>
    </row>
    <row r="1116" ht="14.25">
      <c r="B1116" s="160"/>
    </row>
    <row r="1117" ht="14.25">
      <c r="B1117" s="160"/>
    </row>
    <row r="1118" ht="14.25">
      <c r="B1118" s="160"/>
    </row>
    <row r="1119" ht="14.25">
      <c r="B1119" s="160"/>
    </row>
    <row r="1120" ht="14.25">
      <c r="B1120" s="160"/>
    </row>
    <row r="1121" ht="14.25">
      <c r="B1121" s="160"/>
    </row>
    <row r="1122" ht="14.25">
      <c r="B1122" s="160"/>
    </row>
    <row r="1123" ht="14.25">
      <c r="B1123" s="160"/>
    </row>
    <row r="1124" ht="14.25">
      <c r="B1124" s="160"/>
    </row>
    <row r="1125" ht="14.25">
      <c r="B1125" s="160"/>
    </row>
    <row r="1126" ht="14.25">
      <c r="B1126" s="160"/>
    </row>
    <row r="1127" ht="14.25">
      <c r="B1127" s="160"/>
    </row>
    <row r="1128" ht="14.25">
      <c r="B1128" s="160"/>
    </row>
    <row r="1129" ht="14.25">
      <c r="B1129" s="160"/>
    </row>
    <row r="1130" ht="14.25">
      <c r="B1130" s="160"/>
    </row>
    <row r="1131" ht="14.25">
      <c r="B1131" s="160"/>
    </row>
    <row r="1132" ht="14.25">
      <c r="B1132" s="160"/>
    </row>
    <row r="1133" ht="14.25">
      <c r="B1133" s="160"/>
    </row>
    <row r="1134" ht="14.25">
      <c r="B1134" s="160"/>
    </row>
    <row r="1135" ht="14.25">
      <c r="B1135" s="160"/>
    </row>
    <row r="1136" ht="14.25">
      <c r="B1136" s="160"/>
    </row>
    <row r="1137" ht="14.25">
      <c r="B1137" s="160"/>
    </row>
    <row r="1138" ht="14.25">
      <c r="B1138" s="160"/>
    </row>
    <row r="1139" ht="14.25">
      <c r="B1139" s="160"/>
    </row>
    <row r="1140" ht="14.25">
      <c r="B1140" s="160"/>
    </row>
    <row r="1141" ht="14.25">
      <c r="B1141" s="160"/>
    </row>
    <row r="1142" ht="14.25">
      <c r="B1142" s="160"/>
    </row>
    <row r="1143" ht="14.25">
      <c r="B1143" s="160"/>
    </row>
    <row r="1144" ht="14.25">
      <c r="B1144" s="160"/>
    </row>
    <row r="1145" ht="14.25">
      <c r="B1145" s="160"/>
    </row>
    <row r="1146" ht="14.25">
      <c r="B1146" s="160"/>
    </row>
    <row r="1147" ht="14.25">
      <c r="B1147" s="160"/>
    </row>
    <row r="1148" ht="14.25">
      <c r="B1148" s="160"/>
    </row>
    <row r="1149" ht="14.25">
      <c r="B1149" s="160"/>
    </row>
    <row r="1150" ht="14.25">
      <c r="B1150" s="160"/>
    </row>
    <row r="1151" ht="14.25">
      <c r="B1151" s="160"/>
    </row>
    <row r="1152" ht="14.25">
      <c r="B1152" s="160"/>
    </row>
    <row r="1153" ht="14.25">
      <c r="B1153" s="160"/>
    </row>
    <row r="1154" ht="14.25">
      <c r="B1154" s="160"/>
    </row>
    <row r="1155" ht="14.25">
      <c r="B1155" s="160"/>
    </row>
    <row r="1156" ht="14.25">
      <c r="B1156" s="160"/>
    </row>
    <row r="1157" ht="14.25">
      <c r="B1157" s="160"/>
    </row>
    <row r="1158" ht="14.25">
      <c r="B1158" s="160"/>
    </row>
    <row r="1159" ht="14.25">
      <c r="B1159" s="160"/>
    </row>
    <row r="1160" ht="14.25">
      <c r="B1160" s="160"/>
    </row>
    <row r="1161" ht="14.25">
      <c r="B1161" s="160"/>
    </row>
    <row r="1162" ht="14.25">
      <c r="B1162" s="160"/>
    </row>
    <row r="1163" ht="14.25">
      <c r="B1163" s="160"/>
    </row>
    <row r="1164" ht="14.25">
      <c r="B1164" s="160"/>
    </row>
    <row r="1165" ht="14.25">
      <c r="B1165" s="160"/>
    </row>
    <row r="1166" ht="14.25">
      <c r="B1166" s="160"/>
    </row>
    <row r="1167" ht="14.25">
      <c r="B1167" s="160"/>
    </row>
    <row r="1168" ht="14.25">
      <c r="B1168" s="160"/>
    </row>
    <row r="1169" ht="14.25">
      <c r="B1169" s="160"/>
    </row>
    <row r="1170" ht="14.25">
      <c r="B1170" s="160"/>
    </row>
    <row r="1171" ht="14.25">
      <c r="B1171" s="160"/>
    </row>
    <row r="1172" ht="14.25">
      <c r="B1172" s="160"/>
    </row>
    <row r="1173" ht="14.25">
      <c r="B1173" s="160"/>
    </row>
    <row r="1174" ht="14.25">
      <c r="B1174" s="160"/>
    </row>
    <row r="1175" ht="14.25">
      <c r="B1175" s="160"/>
    </row>
    <row r="1176" ht="14.25">
      <c r="B1176" s="160"/>
    </row>
    <row r="1177" ht="14.25">
      <c r="B1177" s="160"/>
    </row>
    <row r="1178" ht="14.25">
      <c r="B1178" s="160"/>
    </row>
    <row r="1179" ht="14.25">
      <c r="B1179" s="160"/>
    </row>
    <row r="1180" ht="14.25">
      <c r="B1180" s="160"/>
    </row>
    <row r="1181" ht="14.25">
      <c r="B1181" s="160"/>
    </row>
    <row r="1182" ht="14.25">
      <c r="B1182" s="160"/>
    </row>
    <row r="1183" ht="14.25">
      <c r="B1183" s="160"/>
    </row>
    <row r="1184" ht="14.25">
      <c r="B1184" s="160"/>
    </row>
    <row r="1185" ht="14.25">
      <c r="B1185" s="160"/>
    </row>
    <row r="1186" ht="14.25">
      <c r="B1186" s="160"/>
    </row>
    <row r="1187" ht="14.25">
      <c r="B1187" s="160"/>
    </row>
    <row r="1188" ht="14.25">
      <c r="B1188" s="160"/>
    </row>
    <row r="1189" ht="14.25">
      <c r="B1189" s="160"/>
    </row>
    <row r="1190" ht="14.25">
      <c r="B1190" s="160"/>
    </row>
    <row r="1191" ht="14.25">
      <c r="B1191" s="160"/>
    </row>
    <row r="1192" ht="14.25">
      <c r="B1192" s="160"/>
    </row>
    <row r="1193" ht="14.25">
      <c r="B1193" s="160"/>
    </row>
    <row r="1194" ht="14.25">
      <c r="B1194" s="160"/>
    </row>
    <row r="1195" ht="14.25">
      <c r="B1195" s="160"/>
    </row>
    <row r="1196" ht="14.25">
      <c r="B1196" s="160"/>
    </row>
    <row r="1197" ht="14.25">
      <c r="B1197" s="160"/>
    </row>
    <row r="1198" ht="14.25">
      <c r="B1198" s="160"/>
    </row>
    <row r="1199" ht="14.25">
      <c r="B1199" s="160"/>
    </row>
    <row r="1200" ht="14.25">
      <c r="B1200" s="160"/>
    </row>
    <row r="1201" ht="14.25">
      <c r="B1201" s="160"/>
    </row>
    <row r="1202" ht="14.25">
      <c r="B1202" s="160"/>
    </row>
    <row r="1203" ht="14.25">
      <c r="B1203" s="160"/>
    </row>
    <row r="1204" ht="14.25">
      <c r="B1204" s="160"/>
    </row>
    <row r="1205" ht="14.25">
      <c r="B1205" s="160"/>
    </row>
    <row r="1206" ht="14.25">
      <c r="B1206" s="160"/>
    </row>
    <row r="1207" ht="14.25">
      <c r="B1207" s="160"/>
    </row>
    <row r="1208" ht="14.25">
      <c r="B1208" s="160"/>
    </row>
    <row r="1209" ht="14.25">
      <c r="B1209" s="160"/>
    </row>
    <row r="1210" ht="14.25">
      <c r="B1210" s="160"/>
    </row>
    <row r="1211" ht="14.25">
      <c r="B1211" s="160"/>
    </row>
    <row r="1212" ht="14.25">
      <c r="B1212" s="160"/>
    </row>
    <row r="1213" ht="14.25">
      <c r="B1213" s="160"/>
    </row>
    <row r="1214" ht="14.25">
      <c r="B1214" s="160"/>
    </row>
    <row r="1215" ht="14.25">
      <c r="B1215" s="160"/>
    </row>
    <row r="1216" ht="14.25">
      <c r="B1216" s="160"/>
    </row>
    <row r="1217" ht="14.25">
      <c r="B1217" s="160"/>
    </row>
    <row r="1218" ht="14.25">
      <c r="B1218" s="160"/>
    </row>
    <row r="1219" ht="14.25">
      <c r="B1219" s="160"/>
    </row>
    <row r="1220" ht="14.25">
      <c r="B1220" s="160"/>
    </row>
    <row r="1221" ht="14.25">
      <c r="B1221" s="160"/>
    </row>
    <row r="1222" ht="14.25">
      <c r="B1222" s="160"/>
    </row>
    <row r="1223" ht="14.25">
      <c r="B1223" s="160"/>
    </row>
    <row r="1224" ht="14.25">
      <c r="B1224" s="160"/>
    </row>
    <row r="1225" ht="14.25">
      <c r="B1225" s="160"/>
    </row>
    <row r="1226" ht="14.25">
      <c r="B1226" s="160"/>
    </row>
    <row r="1227" ht="14.25">
      <c r="B1227" s="160"/>
    </row>
    <row r="1228" ht="14.25">
      <c r="B1228" s="160"/>
    </row>
    <row r="1229" ht="14.25">
      <c r="B1229" s="160"/>
    </row>
    <row r="1230" ht="14.25">
      <c r="B1230" s="160"/>
    </row>
    <row r="1231" ht="14.25">
      <c r="B1231" s="160"/>
    </row>
    <row r="1232" ht="14.25">
      <c r="B1232" s="160"/>
    </row>
    <row r="1233" ht="14.25">
      <c r="B1233" s="160"/>
    </row>
    <row r="1234" ht="14.25">
      <c r="B1234" s="160"/>
    </row>
    <row r="1235" ht="14.25">
      <c r="B1235" s="160"/>
    </row>
    <row r="1236" ht="14.25">
      <c r="B1236" s="160"/>
    </row>
    <row r="1237" ht="14.25">
      <c r="B1237" s="160"/>
    </row>
    <row r="1238" ht="14.25">
      <c r="B1238" s="160"/>
    </row>
    <row r="1239" ht="14.25">
      <c r="B1239" s="160"/>
    </row>
    <row r="1240" ht="14.25">
      <c r="B1240" s="160"/>
    </row>
    <row r="1241" ht="14.25">
      <c r="B1241" s="160"/>
    </row>
    <row r="1242" ht="14.25">
      <c r="B1242" s="160"/>
    </row>
    <row r="1243" ht="14.25">
      <c r="B1243" s="160"/>
    </row>
    <row r="1244" ht="14.25">
      <c r="B1244" s="160"/>
    </row>
    <row r="1245" ht="14.25">
      <c r="B1245" s="160"/>
    </row>
    <row r="1246" ht="14.25">
      <c r="B1246" s="160"/>
    </row>
    <row r="1247" ht="14.25">
      <c r="B1247" s="160"/>
    </row>
    <row r="1248" ht="14.25">
      <c r="B1248" s="160"/>
    </row>
    <row r="1249" ht="14.25">
      <c r="B1249" s="160"/>
    </row>
    <row r="1250" ht="14.25">
      <c r="B1250" s="160"/>
    </row>
    <row r="1251" ht="14.25">
      <c r="B1251" s="160"/>
    </row>
    <row r="1252" ht="14.25">
      <c r="B1252" s="160"/>
    </row>
    <row r="1253" ht="14.25">
      <c r="B1253" s="160"/>
    </row>
    <row r="1254" ht="14.25">
      <c r="B1254" s="160"/>
    </row>
    <row r="1255" ht="14.25">
      <c r="B1255" s="160"/>
    </row>
    <row r="1256" ht="14.25">
      <c r="B1256" s="160"/>
    </row>
    <row r="1257" ht="14.25">
      <c r="B1257" s="160"/>
    </row>
    <row r="1258" ht="14.25">
      <c r="B1258" s="160"/>
    </row>
    <row r="1259" ht="14.25">
      <c r="B1259" s="160"/>
    </row>
    <row r="1260" ht="14.25">
      <c r="B1260" s="160"/>
    </row>
    <row r="1261" ht="14.25">
      <c r="B1261" s="160"/>
    </row>
    <row r="1262" ht="14.25">
      <c r="B1262" s="160"/>
    </row>
    <row r="1263" ht="14.25">
      <c r="B1263" s="160"/>
    </row>
    <row r="1264" ht="14.25">
      <c r="B1264" s="160"/>
    </row>
    <row r="1265" ht="14.25">
      <c r="B1265" s="160"/>
    </row>
    <row r="1266" ht="14.25">
      <c r="B1266" s="160"/>
    </row>
    <row r="1267" ht="14.25">
      <c r="B1267" s="160"/>
    </row>
    <row r="1268" ht="14.25">
      <c r="B1268" s="160"/>
    </row>
    <row r="1269" ht="14.25">
      <c r="B1269" s="160"/>
    </row>
    <row r="1270" ht="14.25">
      <c r="B1270" s="160"/>
    </row>
    <row r="1271" ht="14.25">
      <c r="B1271" s="160"/>
    </row>
    <row r="1272" ht="14.25">
      <c r="B1272" s="160"/>
    </row>
    <row r="1273" ht="14.25">
      <c r="B1273" s="160"/>
    </row>
    <row r="1274" ht="14.25">
      <c r="B1274" s="160"/>
    </row>
    <row r="1275" ht="14.25">
      <c r="B1275" s="160"/>
    </row>
    <row r="1276" ht="14.25">
      <c r="B1276" s="160"/>
    </row>
    <row r="1277" ht="14.25">
      <c r="B1277" s="160"/>
    </row>
    <row r="1278" ht="14.25">
      <c r="B1278" s="160"/>
    </row>
    <row r="1279" ht="14.25">
      <c r="B1279" s="160"/>
    </row>
    <row r="1280" ht="14.25">
      <c r="B1280" s="160"/>
    </row>
    <row r="1281" ht="14.25">
      <c r="B1281" s="160"/>
    </row>
    <row r="1282" ht="14.25">
      <c r="B1282" s="160"/>
    </row>
    <row r="1283" ht="14.25">
      <c r="B1283" s="160"/>
    </row>
    <row r="1284" ht="14.25">
      <c r="B1284" s="160"/>
    </row>
    <row r="1285" ht="14.25">
      <c r="B1285" s="160"/>
    </row>
    <row r="1286" ht="14.25">
      <c r="B1286" s="160"/>
    </row>
    <row r="1287" ht="14.25">
      <c r="B1287" s="160"/>
    </row>
    <row r="1288" ht="14.25">
      <c r="B1288" s="160"/>
    </row>
    <row r="1289" ht="14.25">
      <c r="B1289" s="160"/>
    </row>
    <row r="1290" ht="14.25">
      <c r="B1290" s="160"/>
    </row>
    <row r="1291" ht="14.25">
      <c r="B1291" s="160"/>
    </row>
    <row r="1292" ht="14.25">
      <c r="B1292" s="160"/>
    </row>
    <row r="1293" ht="14.25">
      <c r="B1293" s="160"/>
    </row>
    <row r="1294" ht="14.25">
      <c r="B1294" s="160"/>
    </row>
    <row r="1295" ht="14.25">
      <c r="B1295" s="160"/>
    </row>
    <row r="1296" ht="14.25">
      <c r="B1296" s="160"/>
    </row>
    <row r="1297" ht="14.25">
      <c r="B1297" s="160"/>
    </row>
    <row r="1298" ht="14.25">
      <c r="B1298" s="160"/>
    </row>
    <row r="1299" ht="14.25">
      <c r="B1299" s="160"/>
    </row>
    <row r="1300" ht="14.25">
      <c r="B1300" s="160"/>
    </row>
    <row r="1301" ht="14.25">
      <c r="B1301" s="160"/>
    </row>
    <row r="1302" ht="14.25">
      <c r="B1302" s="160"/>
    </row>
    <row r="1303" ht="14.25">
      <c r="B1303" s="160"/>
    </row>
    <row r="1304" ht="14.25">
      <c r="B1304" s="160"/>
    </row>
    <row r="1305" ht="14.25">
      <c r="B1305" s="160"/>
    </row>
    <row r="1306" ht="14.25">
      <c r="B1306" s="160"/>
    </row>
    <row r="1307" ht="14.25">
      <c r="B1307" s="160"/>
    </row>
    <row r="1308" ht="14.25">
      <c r="B1308" s="160"/>
    </row>
    <row r="1309" ht="14.25">
      <c r="B1309" s="160"/>
    </row>
    <row r="1310" ht="14.25">
      <c r="B1310" s="160"/>
    </row>
    <row r="1311" ht="14.25">
      <c r="B1311" s="160"/>
    </row>
    <row r="1312" ht="14.25">
      <c r="B1312" s="160"/>
    </row>
    <row r="1313" ht="14.25">
      <c r="B1313" s="160"/>
    </row>
    <row r="1314" ht="14.25">
      <c r="B1314" s="160"/>
    </row>
    <row r="1315" ht="14.25">
      <c r="B1315" s="160"/>
    </row>
    <row r="1316" ht="14.25">
      <c r="B1316" s="160"/>
    </row>
    <row r="1317" ht="14.25">
      <c r="B1317" s="160"/>
    </row>
    <row r="1318" ht="14.25">
      <c r="B1318" s="160"/>
    </row>
    <row r="1319" ht="14.25">
      <c r="B1319" s="160"/>
    </row>
    <row r="1320" ht="14.25">
      <c r="B1320" s="160"/>
    </row>
    <row r="1321" ht="14.25">
      <c r="B1321" s="160"/>
    </row>
    <row r="1322" ht="14.25">
      <c r="B1322" s="160"/>
    </row>
    <row r="1323" ht="14.25">
      <c r="B1323" s="160"/>
    </row>
    <row r="1324" ht="14.25">
      <c r="B1324" s="160"/>
    </row>
    <row r="1325" ht="14.25">
      <c r="B1325" s="160"/>
    </row>
    <row r="1326" ht="14.25">
      <c r="B1326" s="160"/>
    </row>
    <row r="1327" ht="14.25">
      <c r="B1327" s="160"/>
    </row>
    <row r="1328" ht="14.25">
      <c r="B1328" s="160"/>
    </row>
    <row r="1329" ht="14.25">
      <c r="B1329" s="160"/>
    </row>
    <row r="1330" ht="14.25">
      <c r="B1330" s="160"/>
    </row>
    <row r="1331" ht="14.25">
      <c r="B1331" s="160"/>
    </row>
    <row r="1332" ht="14.25">
      <c r="B1332" s="160"/>
    </row>
    <row r="1333" ht="14.25">
      <c r="B1333" s="160"/>
    </row>
    <row r="1334" ht="14.25">
      <c r="B1334" s="160"/>
    </row>
    <row r="1335" ht="14.25">
      <c r="B1335" s="160"/>
    </row>
    <row r="1336" ht="14.25">
      <c r="B1336" s="160"/>
    </row>
    <row r="1337" ht="14.25">
      <c r="B1337" s="160"/>
    </row>
    <row r="1338" ht="14.25">
      <c r="B1338" s="160"/>
    </row>
    <row r="1339" ht="14.25">
      <c r="B1339" s="160"/>
    </row>
    <row r="1340" ht="14.25">
      <c r="B1340" s="160"/>
    </row>
    <row r="1341" ht="14.25">
      <c r="B1341" s="160"/>
    </row>
    <row r="1342" ht="14.25">
      <c r="B1342" s="160"/>
    </row>
    <row r="1343" ht="14.25">
      <c r="B1343" s="160"/>
    </row>
    <row r="1344" ht="14.25">
      <c r="B1344" s="160"/>
    </row>
    <row r="1345" ht="14.25">
      <c r="B1345" s="160"/>
    </row>
    <row r="1346" ht="14.25">
      <c r="B1346" s="160"/>
    </row>
    <row r="1347" ht="14.25">
      <c r="B1347" s="160"/>
    </row>
    <row r="1348" ht="14.25">
      <c r="B1348" s="160"/>
    </row>
    <row r="1349" ht="14.25">
      <c r="B1349" s="160"/>
    </row>
    <row r="1350" ht="14.25">
      <c r="B1350" s="160"/>
    </row>
    <row r="1351" ht="14.25">
      <c r="B1351" s="160"/>
    </row>
    <row r="1352" ht="14.25">
      <c r="B1352" s="160"/>
    </row>
    <row r="1353" ht="14.25">
      <c r="B1353" s="160"/>
    </row>
    <row r="1354" ht="14.25">
      <c r="B1354" s="160"/>
    </row>
    <row r="1355" ht="14.25">
      <c r="B1355" s="160"/>
    </row>
    <row r="1356" ht="14.25">
      <c r="B1356" s="160"/>
    </row>
    <row r="1357" ht="14.25">
      <c r="B1357" s="160"/>
    </row>
    <row r="1358" ht="14.25">
      <c r="B1358" s="160"/>
    </row>
    <row r="1359" ht="14.25">
      <c r="B1359" s="160"/>
    </row>
    <row r="1360" ht="14.25">
      <c r="B1360" s="160"/>
    </row>
    <row r="1361" ht="14.25">
      <c r="B1361" s="160"/>
    </row>
    <row r="1362" ht="14.25">
      <c r="B1362" s="160"/>
    </row>
    <row r="1363" ht="14.25">
      <c r="B1363" s="160"/>
    </row>
    <row r="1364" ht="14.25">
      <c r="B1364" s="160"/>
    </row>
    <row r="1365" ht="14.25">
      <c r="B1365" s="160"/>
    </row>
    <row r="1366" ht="14.25">
      <c r="B1366" s="160"/>
    </row>
    <row r="1367" ht="14.25">
      <c r="B1367" s="160"/>
    </row>
    <row r="1368" ht="14.25">
      <c r="B1368" s="160"/>
    </row>
    <row r="1369" ht="14.25">
      <c r="B1369" s="160"/>
    </row>
    <row r="1370" ht="14.25">
      <c r="B1370" s="160"/>
    </row>
    <row r="1371" ht="14.25">
      <c r="B1371" s="160"/>
    </row>
    <row r="1372" ht="14.25">
      <c r="B1372" s="160"/>
    </row>
    <row r="1373" ht="14.25">
      <c r="B1373" s="160"/>
    </row>
    <row r="1374" ht="14.25">
      <c r="B1374" s="160"/>
    </row>
    <row r="1375" ht="14.25">
      <c r="B1375" s="160"/>
    </row>
    <row r="1376" ht="14.25">
      <c r="B1376" s="160"/>
    </row>
    <row r="1377" ht="14.25">
      <c r="B1377" s="160"/>
    </row>
    <row r="1378" ht="14.25">
      <c r="B1378" s="160"/>
    </row>
    <row r="1379" ht="14.25">
      <c r="B1379" s="160"/>
    </row>
    <row r="1380" ht="14.25">
      <c r="B1380" s="160"/>
    </row>
    <row r="1381" ht="14.25">
      <c r="B1381" s="160"/>
    </row>
    <row r="1382" ht="14.25">
      <c r="B1382" s="160"/>
    </row>
    <row r="1383" ht="14.25">
      <c r="B1383" s="160"/>
    </row>
    <row r="1384" ht="14.25">
      <c r="B1384" s="160"/>
    </row>
    <row r="1385" ht="14.25">
      <c r="B1385" s="160"/>
    </row>
    <row r="1386" ht="14.25">
      <c r="B1386" s="160"/>
    </row>
    <row r="1387" ht="14.25">
      <c r="B1387" s="160"/>
    </row>
    <row r="1388" ht="14.25">
      <c r="B1388" s="160"/>
    </row>
    <row r="1389" ht="14.25">
      <c r="B1389" s="160"/>
    </row>
    <row r="1390" ht="14.25">
      <c r="B1390" s="160"/>
    </row>
    <row r="1391" ht="14.25">
      <c r="B1391" s="160"/>
    </row>
    <row r="1392" ht="14.25">
      <c r="B1392" s="160"/>
    </row>
    <row r="1393" ht="14.25">
      <c r="B1393" s="160"/>
    </row>
    <row r="1394" ht="14.25">
      <c r="B1394" s="160"/>
    </row>
    <row r="1395" ht="14.25">
      <c r="B1395" s="160"/>
    </row>
    <row r="1396" ht="14.25">
      <c r="B1396" s="160"/>
    </row>
    <row r="1397" ht="14.25">
      <c r="B1397" s="160"/>
    </row>
    <row r="1398" ht="14.25">
      <c r="B1398" s="160"/>
    </row>
    <row r="1399" ht="14.25">
      <c r="B1399" s="160"/>
    </row>
    <row r="1400" ht="14.25">
      <c r="B1400" s="160"/>
    </row>
    <row r="1401" ht="14.25">
      <c r="B1401" s="160"/>
    </row>
    <row r="1402" ht="14.25">
      <c r="B1402" s="160"/>
    </row>
    <row r="1403" ht="14.25">
      <c r="B1403" s="160"/>
    </row>
    <row r="1404" ht="14.25">
      <c r="B1404" s="160"/>
    </row>
    <row r="1405" ht="14.25">
      <c r="B1405" s="160"/>
    </row>
    <row r="1406" ht="14.25">
      <c r="B1406" s="160"/>
    </row>
    <row r="1407" ht="14.25">
      <c r="B1407" s="160"/>
    </row>
    <row r="1408" ht="14.25">
      <c r="B1408" s="160"/>
    </row>
    <row r="1409" ht="14.25">
      <c r="B1409" s="160"/>
    </row>
    <row r="1410" ht="14.25">
      <c r="B1410" s="160"/>
    </row>
    <row r="1411" ht="14.25">
      <c r="B1411" s="160"/>
    </row>
    <row r="1412" ht="14.25">
      <c r="B1412" s="160"/>
    </row>
    <row r="1413" ht="14.25">
      <c r="B1413" s="160"/>
    </row>
    <row r="1414" ht="14.25">
      <c r="B1414" s="160"/>
    </row>
    <row r="1415" ht="14.25">
      <c r="B1415" s="160"/>
    </row>
    <row r="1416" ht="14.25">
      <c r="B1416" s="160"/>
    </row>
    <row r="1417" ht="14.25">
      <c r="B1417" s="160"/>
    </row>
    <row r="1418" ht="14.25">
      <c r="B1418" s="160"/>
    </row>
    <row r="1419" ht="14.25">
      <c r="B1419" s="160"/>
    </row>
    <row r="1420" ht="14.25">
      <c r="B1420" s="160"/>
    </row>
    <row r="1421" ht="14.25">
      <c r="B1421" s="160"/>
    </row>
    <row r="1422" ht="14.25">
      <c r="B1422" s="160"/>
    </row>
    <row r="1423" ht="14.25">
      <c r="B1423" s="160"/>
    </row>
    <row r="1424" ht="14.25">
      <c r="B1424" s="160"/>
    </row>
    <row r="1425" ht="14.25">
      <c r="B1425" s="160"/>
    </row>
    <row r="1426" ht="14.25">
      <c r="B1426" s="160"/>
    </row>
    <row r="1427" ht="14.25">
      <c r="B1427" s="160"/>
    </row>
    <row r="1428" ht="14.25">
      <c r="B1428" s="160"/>
    </row>
    <row r="1429" ht="14.25">
      <c r="B1429" s="160"/>
    </row>
    <row r="1430" ht="14.25">
      <c r="B1430" s="160"/>
    </row>
    <row r="1431" ht="14.25">
      <c r="B1431" s="160"/>
    </row>
    <row r="1432" ht="14.25">
      <c r="B1432" s="160"/>
    </row>
    <row r="1433" ht="14.25">
      <c r="B1433" s="160"/>
    </row>
    <row r="1434" ht="14.25">
      <c r="B1434" s="160"/>
    </row>
    <row r="1435" ht="14.25">
      <c r="B1435" s="160"/>
    </row>
    <row r="1436" ht="14.25">
      <c r="B1436" s="160"/>
    </row>
    <row r="1437" ht="14.25">
      <c r="B1437" s="160"/>
    </row>
    <row r="1438" ht="14.25">
      <c r="B1438" s="160"/>
    </row>
    <row r="1439" ht="14.25">
      <c r="B1439" s="160"/>
    </row>
    <row r="1440" ht="14.25">
      <c r="B1440" s="160"/>
    </row>
    <row r="1441" ht="14.25">
      <c r="B1441" s="160"/>
    </row>
    <row r="1442" ht="14.25">
      <c r="B1442" s="160"/>
    </row>
    <row r="1443" ht="14.25">
      <c r="B1443" s="160"/>
    </row>
    <row r="1444" ht="14.25">
      <c r="B1444" s="160"/>
    </row>
    <row r="1445" ht="14.25">
      <c r="B1445" s="160"/>
    </row>
    <row r="1446" ht="14.25">
      <c r="B1446" s="160"/>
    </row>
    <row r="1447" ht="14.25">
      <c r="B1447" s="160"/>
    </row>
    <row r="1448" ht="14.25">
      <c r="B1448" s="160"/>
    </row>
    <row r="1449" ht="14.25">
      <c r="B1449" s="160"/>
    </row>
    <row r="1450" ht="14.25">
      <c r="B1450" s="160"/>
    </row>
    <row r="1451" ht="14.25">
      <c r="B1451" s="160"/>
    </row>
    <row r="1452" ht="14.25">
      <c r="B1452" s="160"/>
    </row>
    <row r="1453" ht="14.25">
      <c r="B1453" s="160"/>
    </row>
    <row r="1454" ht="14.25">
      <c r="B1454" s="160"/>
    </row>
    <row r="1455" ht="14.25">
      <c r="B1455" s="160"/>
    </row>
    <row r="1456" ht="14.25">
      <c r="B1456" s="160"/>
    </row>
    <row r="1457" ht="14.25">
      <c r="B1457" s="160"/>
    </row>
    <row r="1458" ht="14.25">
      <c r="B1458" s="160"/>
    </row>
    <row r="1459" ht="14.25">
      <c r="B1459" s="160"/>
    </row>
    <row r="1460" ht="14.25">
      <c r="B1460" s="160"/>
    </row>
    <row r="1461" ht="14.25">
      <c r="B1461" s="160"/>
    </row>
    <row r="1462" ht="14.25">
      <c r="B1462" s="160"/>
    </row>
    <row r="1463" ht="14.25">
      <c r="B1463" s="160"/>
    </row>
    <row r="1464" ht="14.25">
      <c r="B1464" s="160"/>
    </row>
    <row r="1465" ht="14.25">
      <c r="B1465" s="160"/>
    </row>
    <row r="1466" ht="14.25">
      <c r="B1466" s="160"/>
    </row>
    <row r="1467" ht="14.25">
      <c r="B1467" s="160"/>
    </row>
    <row r="1468" ht="14.25">
      <c r="B1468" s="160"/>
    </row>
    <row r="1469" ht="14.25">
      <c r="B1469" s="160"/>
    </row>
    <row r="1470" ht="14.25">
      <c r="B1470" s="160"/>
    </row>
    <row r="1471" ht="14.25">
      <c r="B1471" s="160"/>
    </row>
    <row r="1472" ht="14.25">
      <c r="B1472" s="160"/>
    </row>
    <row r="1473" ht="14.25">
      <c r="B1473" s="160"/>
    </row>
    <row r="1474" ht="14.25">
      <c r="B1474" s="160"/>
    </row>
    <row r="1475" ht="14.25">
      <c r="B1475" s="160"/>
    </row>
    <row r="1476" ht="14.25">
      <c r="B1476" s="160"/>
    </row>
    <row r="1477" ht="14.25">
      <c r="B1477" s="160"/>
    </row>
    <row r="1478" ht="14.25">
      <c r="B1478" s="160"/>
    </row>
    <row r="1479" ht="14.25">
      <c r="B1479" s="160"/>
    </row>
    <row r="1480" ht="14.25">
      <c r="B1480" s="160"/>
    </row>
    <row r="1481" ht="14.25">
      <c r="B1481" s="160"/>
    </row>
    <row r="1482" ht="14.25">
      <c r="B1482" s="160"/>
    </row>
    <row r="1483" ht="14.25">
      <c r="B1483" s="160"/>
    </row>
    <row r="1484" ht="14.25">
      <c r="B1484" s="160"/>
    </row>
    <row r="1485" ht="14.25">
      <c r="B1485" s="160"/>
    </row>
    <row r="1486" ht="14.25">
      <c r="B1486" s="160"/>
    </row>
    <row r="1487" ht="14.25">
      <c r="B1487" s="160"/>
    </row>
    <row r="1488" ht="14.25">
      <c r="B1488" s="160"/>
    </row>
    <row r="1489" ht="14.25">
      <c r="B1489" s="160"/>
    </row>
    <row r="1490" ht="14.25">
      <c r="B1490" s="160"/>
    </row>
    <row r="1491" ht="14.25">
      <c r="B1491" s="160"/>
    </row>
    <row r="1492" ht="14.25">
      <c r="B1492" s="160"/>
    </row>
    <row r="1493" ht="14.25">
      <c r="B1493" s="160"/>
    </row>
    <row r="1494" ht="14.25">
      <c r="B1494" s="160"/>
    </row>
    <row r="1495" ht="14.25">
      <c r="B1495" s="160"/>
    </row>
    <row r="1496" ht="14.25">
      <c r="B1496" s="160"/>
    </row>
    <row r="1497" ht="14.25">
      <c r="B1497" s="160"/>
    </row>
    <row r="1498" ht="14.25">
      <c r="B1498" s="160"/>
    </row>
    <row r="1499" ht="14.25">
      <c r="B1499" s="160"/>
    </row>
    <row r="1500" ht="14.25">
      <c r="B1500" s="160"/>
    </row>
    <row r="1501" ht="14.25">
      <c r="B1501" s="160"/>
    </row>
    <row r="1502" ht="14.25">
      <c r="B1502" s="160"/>
    </row>
    <row r="1503" ht="14.25">
      <c r="B1503" s="160"/>
    </row>
    <row r="1504" ht="14.25">
      <c r="B1504" s="160"/>
    </row>
    <row r="1505" ht="14.25">
      <c r="B1505" s="160"/>
    </row>
    <row r="1506" ht="14.25">
      <c r="B1506" s="160"/>
    </row>
    <row r="1507" ht="14.25">
      <c r="B1507" s="160"/>
    </row>
    <row r="1508" ht="14.25">
      <c r="B1508" s="160"/>
    </row>
    <row r="1509" ht="14.25">
      <c r="B1509" s="160"/>
    </row>
    <row r="1510" ht="14.25">
      <c r="B1510" s="160"/>
    </row>
    <row r="1511" ht="14.25">
      <c r="B1511" s="160"/>
    </row>
    <row r="1512" ht="14.25">
      <c r="B1512" s="160"/>
    </row>
    <row r="1513" ht="14.25">
      <c r="B1513" s="160"/>
    </row>
    <row r="1514" ht="14.25">
      <c r="B1514" s="160"/>
    </row>
    <row r="1515" ht="14.25">
      <c r="B1515" s="160"/>
    </row>
    <row r="1516" ht="14.25">
      <c r="B1516" s="160"/>
    </row>
    <row r="1517" ht="14.25">
      <c r="B1517" s="160"/>
    </row>
    <row r="1518" ht="14.25">
      <c r="B1518" s="160"/>
    </row>
    <row r="1519" ht="14.25">
      <c r="B1519" s="160"/>
    </row>
    <row r="1520" ht="14.25">
      <c r="B1520" s="160"/>
    </row>
    <row r="1521" ht="14.25">
      <c r="B1521" s="160"/>
    </row>
    <row r="1522" ht="14.25">
      <c r="B1522" s="160"/>
    </row>
    <row r="1523" ht="14.25">
      <c r="B1523" s="160"/>
    </row>
    <row r="1524" ht="14.25">
      <c r="B1524" s="160"/>
    </row>
    <row r="1525" ht="14.25">
      <c r="B1525" s="160"/>
    </row>
    <row r="1526" ht="14.25">
      <c r="B1526" s="160"/>
    </row>
    <row r="1527" ht="14.25">
      <c r="B1527" s="160"/>
    </row>
    <row r="1528" ht="14.25">
      <c r="B1528" s="160"/>
    </row>
    <row r="1529" ht="14.25">
      <c r="B1529" s="160"/>
    </row>
    <row r="1530" ht="14.25">
      <c r="B1530" s="160"/>
    </row>
    <row r="1531" ht="14.25">
      <c r="B1531" s="160"/>
    </row>
    <row r="1532" ht="14.25">
      <c r="B1532" s="160"/>
    </row>
    <row r="1533" ht="14.25">
      <c r="B1533" s="160"/>
    </row>
    <row r="1534" ht="14.25">
      <c r="B1534" s="160"/>
    </row>
    <row r="1535" ht="14.25">
      <c r="B1535" s="160"/>
    </row>
    <row r="1536" ht="14.25">
      <c r="B1536" s="160"/>
    </row>
    <row r="1537" ht="14.25">
      <c r="B1537" s="160"/>
    </row>
    <row r="1538" ht="14.25">
      <c r="B1538" s="160"/>
    </row>
    <row r="1539" ht="14.25">
      <c r="B1539" s="160"/>
    </row>
    <row r="1540" ht="14.25">
      <c r="B1540" s="160"/>
    </row>
    <row r="1541" ht="14.25">
      <c r="B1541" s="160"/>
    </row>
    <row r="1542" ht="14.25">
      <c r="B1542" s="160"/>
    </row>
    <row r="1543" ht="14.25">
      <c r="B1543" s="160"/>
    </row>
    <row r="1544" ht="14.25">
      <c r="B1544" s="160"/>
    </row>
    <row r="1545" ht="14.25">
      <c r="B1545" s="160"/>
    </row>
    <row r="1546" ht="14.25">
      <c r="B1546" s="160"/>
    </row>
    <row r="1547" ht="14.25">
      <c r="B1547" s="160"/>
    </row>
    <row r="1548" ht="14.25">
      <c r="B1548" s="160"/>
    </row>
    <row r="1549" ht="14.25">
      <c r="B1549" s="160"/>
    </row>
    <row r="1550" ht="14.25">
      <c r="B1550" s="160"/>
    </row>
    <row r="1551" ht="14.25">
      <c r="B1551" s="160"/>
    </row>
    <row r="1552" ht="14.25">
      <c r="B1552" s="160"/>
    </row>
    <row r="1553" ht="14.25">
      <c r="B1553" s="160"/>
    </row>
    <row r="1554" ht="14.25">
      <c r="B1554" s="160"/>
    </row>
    <row r="1555" ht="14.25">
      <c r="B1555" s="160"/>
    </row>
    <row r="1556" ht="14.25">
      <c r="B1556" s="160"/>
    </row>
    <row r="1557" ht="14.25">
      <c r="B1557" s="160"/>
    </row>
    <row r="1558" ht="14.25">
      <c r="B1558" s="160"/>
    </row>
    <row r="1559" ht="14.25">
      <c r="B1559" s="160"/>
    </row>
    <row r="1560" ht="14.25">
      <c r="B1560" s="160"/>
    </row>
    <row r="1561" ht="14.25">
      <c r="B1561" s="160"/>
    </row>
    <row r="1562" ht="14.25">
      <c r="B1562" s="160"/>
    </row>
    <row r="1563" ht="14.25">
      <c r="B1563" s="160"/>
    </row>
    <row r="1564" ht="14.25">
      <c r="B1564" s="160"/>
    </row>
    <row r="1565" ht="14.25">
      <c r="B1565" s="160"/>
    </row>
    <row r="1566" ht="14.25">
      <c r="B1566" s="160"/>
    </row>
    <row r="1567" ht="14.25">
      <c r="B1567" s="160"/>
    </row>
    <row r="1568" ht="14.25">
      <c r="B1568" s="160"/>
    </row>
    <row r="1569" ht="14.25">
      <c r="B1569" s="160"/>
    </row>
    <row r="1570" ht="14.25">
      <c r="B1570" s="160"/>
    </row>
    <row r="1571" ht="14.25">
      <c r="B1571" s="160"/>
    </row>
    <row r="1572" ht="14.25">
      <c r="B1572" s="160"/>
    </row>
    <row r="1573" ht="14.25">
      <c r="B1573" s="160"/>
    </row>
    <row r="1574" ht="14.25">
      <c r="B1574" s="160"/>
    </row>
    <row r="1575" ht="14.25">
      <c r="B1575" s="160"/>
    </row>
    <row r="1576" ht="14.25">
      <c r="B1576" s="160"/>
    </row>
    <row r="1577" ht="14.25">
      <c r="B1577" s="160"/>
    </row>
    <row r="1578" ht="14.25">
      <c r="B1578" s="160"/>
    </row>
    <row r="1579" ht="14.25">
      <c r="B1579" s="160"/>
    </row>
    <row r="1580" ht="14.25">
      <c r="B1580" s="160"/>
    </row>
    <row r="1581" ht="14.25">
      <c r="B1581" s="160"/>
    </row>
    <row r="1582" ht="14.25">
      <c r="B1582" s="160"/>
    </row>
    <row r="1583" ht="14.25">
      <c r="B1583" s="160"/>
    </row>
    <row r="1584" ht="14.25">
      <c r="B1584" s="160"/>
    </row>
    <row r="1585" ht="14.25">
      <c r="B1585" s="160"/>
    </row>
    <row r="1586" ht="14.25">
      <c r="B1586" s="160"/>
    </row>
    <row r="1587" ht="14.25">
      <c r="B1587" s="160"/>
    </row>
    <row r="1588" ht="14.25">
      <c r="B1588" s="160"/>
    </row>
    <row r="1589" ht="14.25">
      <c r="B1589" s="160"/>
    </row>
    <row r="1590" ht="14.25">
      <c r="B1590" s="160"/>
    </row>
    <row r="1591" ht="14.25">
      <c r="B1591" s="160"/>
    </row>
    <row r="1592" ht="14.25">
      <c r="B1592" s="160"/>
    </row>
    <row r="1593" ht="14.25">
      <c r="B1593" s="160"/>
    </row>
    <row r="1594" ht="14.25">
      <c r="B1594" s="160"/>
    </row>
    <row r="1595" ht="14.25">
      <c r="B1595" s="160"/>
    </row>
    <row r="1596" ht="14.25">
      <c r="B1596" s="160"/>
    </row>
    <row r="1597" ht="14.25">
      <c r="B1597" s="160"/>
    </row>
    <row r="1598" ht="14.25">
      <c r="B1598" s="160"/>
    </row>
    <row r="1599" ht="14.25">
      <c r="B1599" s="160"/>
    </row>
    <row r="1600" ht="14.25">
      <c r="B1600" s="160"/>
    </row>
    <row r="1601" ht="14.25">
      <c r="B1601" s="160"/>
    </row>
    <row r="1602" ht="14.25">
      <c r="B1602" s="160"/>
    </row>
    <row r="1603" ht="14.25">
      <c r="B1603" s="160"/>
    </row>
    <row r="1604" ht="14.25">
      <c r="B1604" s="160"/>
    </row>
    <row r="1605" ht="14.25">
      <c r="B1605" s="160"/>
    </row>
    <row r="1606" ht="14.25">
      <c r="B1606" s="160"/>
    </row>
    <row r="1607" ht="14.25">
      <c r="B1607" s="160"/>
    </row>
    <row r="1608" ht="14.25">
      <c r="B1608" s="160"/>
    </row>
    <row r="1609" ht="14.25">
      <c r="B1609" s="160"/>
    </row>
    <row r="1610" ht="14.25">
      <c r="B1610" s="160"/>
    </row>
    <row r="1611" ht="14.25">
      <c r="B1611" s="160"/>
    </row>
    <row r="1612" ht="14.25">
      <c r="B1612" s="160"/>
    </row>
    <row r="1613" ht="14.25">
      <c r="B1613" s="160"/>
    </row>
    <row r="1614" ht="14.25">
      <c r="B1614" s="160"/>
    </row>
    <row r="1615" ht="14.25">
      <c r="B1615" s="160"/>
    </row>
    <row r="1616" ht="14.25">
      <c r="B1616" s="160"/>
    </row>
    <row r="1617" ht="14.25">
      <c r="B1617" s="160"/>
    </row>
    <row r="1618" ht="14.25">
      <c r="B1618" s="160"/>
    </row>
    <row r="1619" ht="14.25">
      <c r="B1619" s="160"/>
    </row>
    <row r="1620" ht="14.25">
      <c r="B1620" s="160"/>
    </row>
    <row r="1621" ht="14.25">
      <c r="B1621" s="160"/>
    </row>
    <row r="1622" ht="14.25">
      <c r="B1622" s="160"/>
    </row>
    <row r="1623" ht="14.25">
      <c r="B1623" s="160"/>
    </row>
    <row r="1624" ht="14.25">
      <c r="B1624" s="160"/>
    </row>
    <row r="1625" ht="14.25">
      <c r="B1625" s="160"/>
    </row>
    <row r="1626" ht="14.25">
      <c r="B1626" s="160"/>
    </row>
    <row r="1627" ht="14.25">
      <c r="B1627" s="160"/>
    </row>
    <row r="1628" ht="14.25">
      <c r="B1628" s="160"/>
    </row>
    <row r="1629" ht="14.25">
      <c r="B1629" s="160"/>
    </row>
    <row r="1630" ht="14.25">
      <c r="B1630" s="160"/>
    </row>
    <row r="1631" ht="14.25">
      <c r="B1631" s="160"/>
    </row>
    <row r="1632" ht="14.25">
      <c r="B1632" s="160"/>
    </row>
    <row r="1633" ht="14.25">
      <c r="B1633" s="160"/>
    </row>
    <row r="1634" ht="14.25">
      <c r="B1634" s="160"/>
    </row>
    <row r="1635" ht="14.25">
      <c r="B1635" s="160"/>
    </row>
    <row r="1636" ht="14.25">
      <c r="B1636" s="160"/>
    </row>
    <row r="1637" ht="14.25">
      <c r="B1637" s="160"/>
    </row>
    <row r="1638" ht="14.25">
      <c r="B1638" s="160"/>
    </row>
    <row r="1639" ht="14.25">
      <c r="B1639" s="160"/>
    </row>
    <row r="1640" ht="14.25">
      <c r="B1640" s="160"/>
    </row>
    <row r="1641" ht="14.25">
      <c r="B1641" s="160"/>
    </row>
    <row r="1642" ht="14.25">
      <c r="B1642" s="160"/>
    </row>
    <row r="1643" ht="14.25">
      <c r="B1643" s="160"/>
    </row>
    <row r="1644" ht="14.25">
      <c r="B1644" s="160"/>
    </row>
    <row r="1645" ht="14.25">
      <c r="B1645" s="160"/>
    </row>
    <row r="1646" ht="14.25">
      <c r="B1646" s="160"/>
    </row>
    <row r="1647" ht="14.25">
      <c r="B1647" s="160"/>
    </row>
    <row r="1648" ht="14.25">
      <c r="B1648" s="160"/>
    </row>
    <row r="1649" ht="14.25">
      <c r="B1649" s="160"/>
    </row>
    <row r="1650" ht="14.25">
      <c r="B1650" s="160"/>
    </row>
    <row r="1651" ht="14.25">
      <c r="B1651" s="160"/>
    </row>
    <row r="1652" ht="14.25">
      <c r="B1652" s="160"/>
    </row>
    <row r="1653" ht="14.25">
      <c r="B1653" s="160"/>
    </row>
    <row r="1654" ht="14.25">
      <c r="B1654" s="160"/>
    </row>
    <row r="1655" ht="14.25">
      <c r="B1655" s="160"/>
    </row>
    <row r="1656" ht="14.25">
      <c r="B1656" s="160"/>
    </row>
    <row r="1657" ht="14.25">
      <c r="B1657" s="160"/>
    </row>
    <row r="1658" ht="14.25">
      <c r="B1658" s="160"/>
    </row>
    <row r="1659" ht="14.25">
      <c r="B1659" s="160"/>
    </row>
    <row r="1660" ht="14.25">
      <c r="B1660" s="160"/>
    </row>
    <row r="1661" ht="14.25">
      <c r="B1661" s="160"/>
    </row>
    <row r="1662" ht="14.25">
      <c r="B1662" s="160"/>
    </row>
    <row r="1663" ht="14.25">
      <c r="B1663" s="160"/>
    </row>
    <row r="1664" ht="14.25">
      <c r="B1664" s="160"/>
    </row>
    <row r="1665" ht="14.25">
      <c r="B1665" s="160"/>
    </row>
    <row r="1666" ht="14.25">
      <c r="B1666" s="160"/>
    </row>
    <row r="1667" ht="14.25">
      <c r="B1667" s="160"/>
    </row>
    <row r="1668" ht="14.25">
      <c r="B1668" s="160"/>
    </row>
    <row r="1669" ht="14.25">
      <c r="B1669" s="160"/>
    </row>
    <row r="1670" ht="14.25">
      <c r="B1670" s="160"/>
    </row>
    <row r="1671" ht="14.25">
      <c r="B1671" s="160"/>
    </row>
    <row r="1672" ht="14.25">
      <c r="B1672" s="160"/>
    </row>
    <row r="1673" ht="14.25">
      <c r="B1673" s="160"/>
    </row>
    <row r="1674" ht="14.25">
      <c r="B1674" s="160"/>
    </row>
    <row r="1675" ht="14.25">
      <c r="B1675" s="160"/>
    </row>
    <row r="1676" ht="14.25">
      <c r="B1676" s="160"/>
    </row>
    <row r="1677" ht="14.25">
      <c r="B1677" s="160"/>
    </row>
    <row r="1678" ht="14.25">
      <c r="B1678" s="160"/>
    </row>
    <row r="1679" ht="14.25">
      <c r="B1679" s="160"/>
    </row>
    <row r="1680" ht="14.25">
      <c r="B1680" s="160"/>
    </row>
    <row r="1681" ht="14.25">
      <c r="B1681" s="160"/>
    </row>
    <row r="1682" ht="14.25">
      <c r="B1682" s="160"/>
    </row>
    <row r="1683" ht="14.25">
      <c r="B1683" s="160"/>
    </row>
    <row r="1684" ht="14.25">
      <c r="B1684" s="160"/>
    </row>
    <row r="1685" ht="14.25">
      <c r="B1685" s="160"/>
    </row>
    <row r="1686" ht="14.25">
      <c r="B1686" s="160"/>
    </row>
    <row r="1687" ht="14.25">
      <c r="B1687" s="160"/>
    </row>
    <row r="1688" ht="14.25">
      <c r="B1688" s="160"/>
    </row>
    <row r="1689" ht="14.25">
      <c r="B1689" s="160"/>
    </row>
    <row r="1690" ht="14.25">
      <c r="B1690" s="160"/>
    </row>
    <row r="1691" ht="14.25">
      <c r="B1691" s="160"/>
    </row>
    <row r="1692" ht="14.25">
      <c r="B1692" s="160"/>
    </row>
    <row r="1693" ht="14.25">
      <c r="B1693" s="160"/>
    </row>
    <row r="1694" ht="14.25">
      <c r="B1694" s="160"/>
    </row>
    <row r="1695" ht="14.25">
      <c r="B1695" s="160"/>
    </row>
    <row r="1696" ht="14.25">
      <c r="B1696" s="160"/>
    </row>
    <row r="1697" ht="14.25">
      <c r="B1697" s="160"/>
    </row>
    <row r="1698" ht="14.25">
      <c r="B1698" s="160"/>
    </row>
    <row r="1699" ht="14.25">
      <c r="B1699" s="160"/>
    </row>
    <row r="1700" ht="14.25">
      <c r="B1700" s="160"/>
    </row>
    <row r="1701" ht="14.25">
      <c r="B1701" s="160"/>
    </row>
    <row r="1702" ht="14.25">
      <c r="B1702" s="160"/>
    </row>
    <row r="1703" ht="14.25">
      <c r="B1703" s="160"/>
    </row>
    <row r="1704" ht="14.25">
      <c r="B1704" s="160"/>
    </row>
    <row r="1705" ht="14.25">
      <c r="B1705" s="160"/>
    </row>
    <row r="1706" ht="14.25">
      <c r="B1706" s="160"/>
    </row>
    <row r="1707" ht="14.25">
      <c r="B1707" s="160"/>
    </row>
    <row r="1708" ht="14.25">
      <c r="B1708" s="160"/>
    </row>
    <row r="1709" ht="14.25">
      <c r="B1709" s="160"/>
    </row>
    <row r="1710" ht="14.25">
      <c r="B1710" s="160"/>
    </row>
    <row r="1711" ht="14.25">
      <c r="B1711" s="160"/>
    </row>
    <row r="1712" ht="14.25">
      <c r="B1712" s="160"/>
    </row>
    <row r="1713" ht="14.25">
      <c r="B1713" s="160"/>
    </row>
    <row r="1714" ht="14.25">
      <c r="B1714" s="160"/>
    </row>
    <row r="1715" ht="14.25">
      <c r="B1715" s="160"/>
    </row>
    <row r="1716" ht="14.25">
      <c r="B1716" s="160"/>
    </row>
    <row r="1717" ht="14.25">
      <c r="B1717" s="160"/>
    </row>
    <row r="1718" ht="14.25">
      <c r="B1718" s="160"/>
    </row>
    <row r="1719" ht="14.25">
      <c r="B1719" s="160"/>
    </row>
    <row r="1720" ht="14.25">
      <c r="B1720" s="160"/>
    </row>
    <row r="1721" ht="14.25">
      <c r="B1721" s="160"/>
    </row>
    <row r="1722" ht="14.25">
      <c r="B1722" s="160"/>
    </row>
    <row r="1723" ht="14.25">
      <c r="B1723" s="160"/>
    </row>
    <row r="1724" ht="14.25">
      <c r="B1724" s="160"/>
    </row>
    <row r="1725" ht="14.25">
      <c r="B1725" s="160"/>
    </row>
    <row r="1726" ht="14.25">
      <c r="B1726" s="160"/>
    </row>
    <row r="1727" ht="14.25">
      <c r="B1727" s="160"/>
    </row>
    <row r="1728" ht="14.25">
      <c r="B1728" s="160"/>
    </row>
    <row r="1729" ht="14.25">
      <c r="B1729" s="160"/>
    </row>
    <row r="1730" ht="14.25">
      <c r="B1730" s="160"/>
    </row>
    <row r="1731" ht="14.25">
      <c r="B1731" s="160"/>
    </row>
    <row r="1732" ht="14.25">
      <c r="B1732" s="160"/>
    </row>
    <row r="1733" ht="14.25">
      <c r="B1733" s="160"/>
    </row>
    <row r="1734" ht="14.25">
      <c r="B1734" s="160"/>
    </row>
    <row r="1735" ht="14.25">
      <c r="B1735" s="160"/>
    </row>
    <row r="1736" ht="14.25">
      <c r="B1736" s="160"/>
    </row>
    <row r="1737" ht="14.25">
      <c r="B1737" s="160"/>
    </row>
    <row r="1738" ht="14.25">
      <c r="B1738" s="160"/>
    </row>
    <row r="1739" ht="14.25">
      <c r="B1739" s="160"/>
    </row>
    <row r="1740" ht="14.25">
      <c r="B1740" s="160"/>
    </row>
    <row r="1741" ht="14.25">
      <c r="B1741" s="160"/>
    </row>
    <row r="1742" ht="14.25">
      <c r="B1742" s="160"/>
    </row>
    <row r="1743" ht="14.25">
      <c r="B1743" s="160"/>
    </row>
    <row r="1744" ht="14.25">
      <c r="B1744" s="160"/>
    </row>
    <row r="1745" ht="14.25">
      <c r="B1745" s="160"/>
    </row>
    <row r="1746" ht="14.25">
      <c r="B1746" s="160"/>
    </row>
    <row r="1747" ht="14.25">
      <c r="B1747" s="160"/>
    </row>
    <row r="1748" ht="14.25">
      <c r="B1748" s="160"/>
    </row>
    <row r="1749" ht="14.25">
      <c r="B1749" s="160"/>
    </row>
    <row r="1750" ht="14.25">
      <c r="B1750" s="160"/>
    </row>
    <row r="1751" ht="14.25">
      <c r="B1751" s="160"/>
    </row>
    <row r="1752" ht="14.25">
      <c r="B1752" s="160"/>
    </row>
    <row r="1753" ht="14.25">
      <c r="B1753" s="160"/>
    </row>
    <row r="1754" ht="14.25">
      <c r="B1754" s="160"/>
    </row>
    <row r="1755" ht="14.25">
      <c r="B1755" s="160"/>
    </row>
    <row r="1756" ht="14.25">
      <c r="B1756" s="160"/>
    </row>
    <row r="1757" ht="14.25">
      <c r="B1757" s="160"/>
    </row>
    <row r="1758" ht="14.25">
      <c r="B1758" s="160"/>
    </row>
    <row r="1759" ht="14.25">
      <c r="B1759" s="160"/>
    </row>
    <row r="1760" ht="14.25">
      <c r="B1760" s="160"/>
    </row>
    <row r="1761" ht="14.25">
      <c r="B1761" s="160"/>
    </row>
    <row r="1762" ht="14.25">
      <c r="B1762" s="160"/>
    </row>
    <row r="1763" ht="14.25">
      <c r="B1763" s="160"/>
    </row>
    <row r="1764" ht="14.25">
      <c r="B1764" s="160"/>
    </row>
    <row r="1765" ht="14.25">
      <c r="B1765" s="160"/>
    </row>
    <row r="1766" ht="14.25">
      <c r="B1766" s="160"/>
    </row>
    <row r="1767" ht="14.25">
      <c r="B1767" s="160"/>
    </row>
    <row r="1768" ht="14.25">
      <c r="B1768" s="160"/>
    </row>
    <row r="1769" ht="14.25">
      <c r="B1769" s="160"/>
    </row>
    <row r="1770" ht="14.25">
      <c r="B1770" s="160"/>
    </row>
    <row r="1771" ht="14.25">
      <c r="B1771" s="160"/>
    </row>
    <row r="1772" ht="14.25">
      <c r="B1772" s="160"/>
    </row>
    <row r="1773" ht="14.25">
      <c r="B1773" s="160"/>
    </row>
    <row r="1774" ht="14.25">
      <c r="B1774" s="160"/>
    </row>
    <row r="1775" ht="14.25">
      <c r="B1775" s="160"/>
    </row>
    <row r="1776" ht="14.25">
      <c r="B1776" s="160"/>
    </row>
    <row r="1777" ht="14.25">
      <c r="B1777" s="160"/>
    </row>
    <row r="1778" ht="14.25">
      <c r="B1778" s="160"/>
    </row>
    <row r="1779" ht="14.25">
      <c r="B1779" s="160"/>
    </row>
    <row r="1780" ht="14.25">
      <c r="B1780" s="160"/>
    </row>
    <row r="1781" ht="14.25">
      <c r="B1781" s="160"/>
    </row>
    <row r="1782" ht="14.25">
      <c r="B1782" s="160"/>
    </row>
    <row r="1783" ht="14.25">
      <c r="B1783" s="160"/>
    </row>
    <row r="1784" ht="14.25">
      <c r="B1784" s="160"/>
    </row>
    <row r="1785" ht="14.25">
      <c r="B1785" s="160"/>
    </row>
    <row r="1786" ht="14.25">
      <c r="B1786" s="160"/>
    </row>
    <row r="1787" ht="14.25">
      <c r="B1787" s="160"/>
    </row>
    <row r="1788" ht="14.25">
      <c r="B1788" s="160"/>
    </row>
    <row r="1789" ht="14.25">
      <c r="B1789" s="160"/>
    </row>
    <row r="1790" ht="14.25">
      <c r="B1790" s="160"/>
    </row>
    <row r="1791" ht="14.25">
      <c r="B1791" s="160"/>
    </row>
    <row r="1792" ht="14.25">
      <c r="B1792" s="160"/>
    </row>
    <row r="1793" ht="14.25">
      <c r="B1793" s="160"/>
    </row>
    <row r="1794" ht="14.25">
      <c r="B1794" s="160"/>
    </row>
    <row r="1795" ht="14.25">
      <c r="B1795" s="160"/>
    </row>
    <row r="1796" ht="14.25">
      <c r="B1796" s="160"/>
    </row>
    <row r="1797" ht="14.25">
      <c r="B1797" s="160"/>
    </row>
    <row r="1798" ht="14.25">
      <c r="B1798" s="160"/>
    </row>
    <row r="1799" ht="14.25">
      <c r="B1799" s="160"/>
    </row>
    <row r="1800" ht="14.25">
      <c r="B1800" s="160"/>
    </row>
    <row r="1801" ht="14.25">
      <c r="B1801" s="160"/>
    </row>
    <row r="1802" ht="14.25">
      <c r="B1802" s="160"/>
    </row>
    <row r="1803" ht="14.25">
      <c r="B1803" s="160"/>
    </row>
    <row r="1804" ht="14.25">
      <c r="B1804" s="160"/>
    </row>
    <row r="1805" ht="14.25">
      <c r="B1805" s="160"/>
    </row>
    <row r="1806" ht="14.25">
      <c r="B1806" s="160"/>
    </row>
    <row r="1807" ht="14.25">
      <c r="B1807" s="160"/>
    </row>
    <row r="1808" ht="14.25">
      <c r="B1808" s="160"/>
    </row>
    <row r="1809" ht="14.25">
      <c r="B1809" s="160"/>
    </row>
    <row r="1810" ht="14.25">
      <c r="B1810" s="160"/>
    </row>
    <row r="1811" ht="14.25">
      <c r="B1811" s="160"/>
    </row>
    <row r="1812" ht="14.25">
      <c r="B1812" s="160"/>
    </row>
    <row r="1813" ht="14.25">
      <c r="B1813" s="160"/>
    </row>
    <row r="1814" ht="14.25">
      <c r="B1814" s="160"/>
    </row>
    <row r="1815" ht="14.25">
      <c r="B1815" s="160"/>
    </row>
    <row r="1816" ht="14.25">
      <c r="B1816" s="160"/>
    </row>
    <row r="1817" ht="14.25">
      <c r="B1817" s="160"/>
    </row>
    <row r="1818" ht="14.25">
      <c r="B1818" s="160"/>
    </row>
    <row r="1819" ht="14.25">
      <c r="B1819" s="160"/>
    </row>
    <row r="1820" ht="14.25">
      <c r="B1820" s="160"/>
    </row>
    <row r="1821" ht="14.25">
      <c r="B1821" s="160"/>
    </row>
    <row r="1822" ht="14.25">
      <c r="B1822" s="160"/>
    </row>
    <row r="1823" ht="14.25">
      <c r="B1823" s="160"/>
    </row>
    <row r="1824" ht="14.25">
      <c r="B1824" s="160"/>
    </row>
    <row r="1825" ht="14.25">
      <c r="B1825" s="160"/>
    </row>
    <row r="1826" ht="14.25">
      <c r="B1826" s="160"/>
    </row>
    <row r="1827" ht="14.25">
      <c r="B1827" s="160"/>
    </row>
    <row r="1828" ht="14.25">
      <c r="B1828" s="160"/>
    </row>
    <row r="1829" ht="14.25">
      <c r="B1829" s="160"/>
    </row>
    <row r="1830" ht="14.25">
      <c r="B1830" s="160"/>
    </row>
    <row r="1831" ht="14.25">
      <c r="B1831" s="160"/>
    </row>
    <row r="1832" ht="14.25">
      <c r="B1832" s="160"/>
    </row>
    <row r="1833" ht="14.25">
      <c r="B1833" s="160"/>
    </row>
    <row r="1834" ht="14.25">
      <c r="B1834" s="160"/>
    </row>
    <row r="1835" ht="14.25">
      <c r="B1835" s="160"/>
    </row>
    <row r="1836" ht="14.25">
      <c r="B1836" s="160"/>
    </row>
    <row r="1837" ht="14.25">
      <c r="B1837" s="160"/>
    </row>
    <row r="1838" ht="14.25">
      <c r="B1838" s="160"/>
    </row>
    <row r="1839" ht="14.25">
      <c r="B1839" s="160"/>
    </row>
    <row r="1840" ht="14.25">
      <c r="B1840" s="160"/>
    </row>
    <row r="1841" ht="14.25">
      <c r="B1841" s="160"/>
    </row>
    <row r="1842" ht="14.25">
      <c r="B1842" s="160"/>
    </row>
    <row r="1843" ht="14.25">
      <c r="B1843" s="160"/>
    </row>
    <row r="1844" ht="14.25">
      <c r="B1844" s="160"/>
    </row>
    <row r="1845" ht="14.25">
      <c r="B1845" s="160"/>
    </row>
    <row r="1846" ht="14.25">
      <c r="B1846" s="160"/>
    </row>
    <row r="1847" ht="14.25">
      <c r="B1847" s="160"/>
    </row>
    <row r="1848" ht="14.25">
      <c r="B1848" s="160"/>
    </row>
    <row r="1849" ht="14.25">
      <c r="B1849" s="160"/>
    </row>
    <row r="1850" ht="14.25">
      <c r="B1850" s="160"/>
    </row>
    <row r="1851" ht="14.25">
      <c r="B1851" s="160"/>
    </row>
    <row r="1852" ht="14.25">
      <c r="B1852" s="160"/>
    </row>
    <row r="1853" ht="14.25">
      <c r="B1853" s="160"/>
    </row>
    <row r="1854" ht="14.25">
      <c r="B1854" s="160"/>
    </row>
    <row r="1855" ht="14.25">
      <c r="B1855" s="160"/>
    </row>
    <row r="1856" ht="14.25">
      <c r="B1856" s="160"/>
    </row>
    <row r="1857" ht="14.25">
      <c r="B1857" s="160"/>
    </row>
    <row r="1858" ht="14.25">
      <c r="B1858" s="160"/>
    </row>
    <row r="1859" ht="14.25">
      <c r="B1859" s="160"/>
    </row>
    <row r="1860" ht="14.25">
      <c r="B1860" s="160"/>
    </row>
    <row r="1861" ht="14.25">
      <c r="B1861" s="160"/>
    </row>
    <row r="1862" ht="14.25">
      <c r="B1862" s="160"/>
    </row>
    <row r="1863" ht="14.25">
      <c r="B1863" s="160"/>
    </row>
    <row r="1864" ht="14.25">
      <c r="B1864" s="160"/>
    </row>
    <row r="1865" ht="14.25">
      <c r="B1865" s="160"/>
    </row>
    <row r="1866" ht="14.25">
      <c r="B1866" s="160"/>
    </row>
    <row r="1867" ht="14.25">
      <c r="B1867" s="160"/>
    </row>
    <row r="1868" ht="14.25">
      <c r="B1868" s="160"/>
    </row>
    <row r="1869" ht="14.25">
      <c r="B1869" s="160"/>
    </row>
    <row r="1870" ht="14.25">
      <c r="B1870" s="160"/>
    </row>
    <row r="1871" ht="14.25">
      <c r="B1871" s="160"/>
    </row>
    <row r="1872" ht="14.25">
      <c r="B1872" s="160"/>
    </row>
    <row r="1873" ht="14.25">
      <c r="B1873" s="160"/>
    </row>
    <row r="1874" ht="14.25">
      <c r="B1874" s="160"/>
    </row>
    <row r="1875" ht="14.25">
      <c r="B1875" s="160"/>
    </row>
    <row r="1876" ht="14.25">
      <c r="B1876" s="160"/>
    </row>
    <row r="1877" ht="14.25">
      <c r="B1877" s="160"/>
    </row>
    <row r="1878" ht="14.25">
      <c r="B1878" s="160"/>
    </row>
    <row r="1879" ht="14.25">
      <c r="B1879" s="160"/>
    </row>
    <row r="1880" ht="14.25">
      <c r="B1880" s="160"/>
    </row>
    <row r="1881" ht="14.25">
      <c r="B1881" s="160"/>
    </row>
    <row r="1882" ht="14.25">
      <c r="B1882" s="160"/>
    </row>
    <row r="1883" ht="14.25">
      <c r="B1883" s="160"/>
    </row>
    <row r="1884" ht="14.25">
      <c r="B1884" s="160"/>
    </row>
    <row r="1885" ht="14.25">
      <c r="B1885" s="160"/>
    </row>
    <row r="1886" ht="14.25">
      <c r="B1886" s="160"/>
    </row>
    <row r="1887" ht="14.25">
      <c r="B1887" s="160"/>
    </row>
    <row r="1888" ht="14.25">
      <c r="B1888" s="160"/>
    </row>
    <row r="1889" ht="14.25">
      <c r="B1889" s="160"/>
    </row>
    <row r="1890" ht="14.25">
      <c r="B1890" s="160"/>
    </row>
    <row r="1891" ht="14.25">
      <c r="B1891" s="160"/>
    </row>
    <row r="1892" ht="14.25">
      <c r="B1892" s="160"/>
    </row>
    <row r="1893" ht="14.25">
      <c r="B1893" s="160"/>
    </row>
    <row r="1894" ht="14.25">
      <c r="B1894" s="160"/>
    </row>
    <row r="1895" ht="14.25">
      <c r="B1895" s="160"/>
    </row>
    <row r="1896" ht="14.25">
      <c r="B1896" s="160"/>
    </row>
    <row r="1897" ht="14.25">
      <c r="B1897" s="160"/>
    </row>
    <row r="1898" ht="14.25">
      <c r="B1898" s="160"/>
    </row>
    <row r="1899" ht="14.25">
      <c r="B1899" s="160"/>
    </row>
    <row r="1900" ht="14.25">
      <c r="B1900" s="160"/>
    </row>
    <row r="1901" ht="14.25">
      <c r="B1901" s="160"/>
    </row>
    <row r="1902" ht="14.25">
      <c r="B1902" s="160"/>
    </row>
    <row r="1903" ht="14.25">
      <c r="B1903" s="160"/>
    </row>
    <row r="1904" ht="14.25">
      <c r="B1904" s="160"/>
    </row>
    <row r="1905" ht="14.25">
      <c r="B1905" s="160"/>
    </row>
    <row r="1906" ht="14.25">
      <c r="B1906" s="160"/>
    </row>
    <row r="1907" ht="14.25">
      <c r="B1907" s="160"/>
    </row>
    <row r="1908" ht="14.25">
      <c r="B1908" s="160"/>
    </row>
    <row r="1909" ht="14.25">
      <c r="B1909" s="160"/>
    </row>
    <row r="1910" ht="14.25">
      <c r="B1910" s="160"/>
    </row>
    <row r="1911" ht="14.25">
      <c r="B1911" s="160"/>
    </row>
    <row r="1912" ht="14.25">
      <c r="B1912" s="160"/>
    </row>
    <row r="1913" ht="14.25">
      <c r="B1913" s="160"/>
    </row>
    <row r="1914" ht="14.25">
      <c r="B1914" s="160"/>
    </row>
    <row r="1915" ht="14.25">
      <c r="B1915" s="160"/>
    </row>
    <row r="1916" ht="14.25">
      <c r="B1916" s="160"/>
    </row>
    <row r="1917" ht="14.25">
      <c r="B1917" s="160"/>
    </row>
    <row r="1918" ht="14.25">
      <c r="B1918" s="160"/>
    </row>
    <row r="1919" ht="14.25">
      <c r="B1919" s="160"/>
    </row>
    <row r="1920" ht="14.25">
      <c r="B1920" s="160"/>
    </row>
    <row r="1921" ht="14.25">
      <c r="B1921" s="160"/>
    </row>
    <row r="1922" ht="14.25">
      <c r="B1922" s="160"/>
    </row>
    <row r="1923" ht="14.25">
      <c r="B1923" s="160"/>
    </row>
    <row r="1924" ht="14.25">
      <c r="B1924" s="160"/>
    </row>
    <row r="1925" ht="14.25">
      <c r="B1925" s="160"/>
    </row>
    <row r="1926" ht="14.25">
      <c r="B1926" s="160"/>
    </row>
    <row r="1927" ht="14.25">
      <c r="B1927" s="160"/>
    </row>
    <row r="1928" ht="14.25">
      <c r="B1928" s="160"/>
    </row>
    <row r="1929" ht="14.25">
      <c r="B1929" s="160"/>
    </row>
    <row r="1930" ht="14.25">
      <c r="B1930" s="160"/>
    </row>
    <row r="1931" ht="14.25">
      <c r="B1931" s="160"/>
    </row>
    <row r="1932" ht="14.25">
      <c r="B1932" s="160"/>
    </row>
    <row r="1933" ht="14.25">
      <c r="B1933" s="160"/>
    </row>
    <row r="1934" ht="14.25">
      <c r="B1934" s="160"/>
    </row>
    <row r="1935" ht="14.25">
      <c r="B1935" s="160"/>
    </row>
    <row r="1936" ht="14.25">
      <c r="B1936" s="160"/>
    </row>
    <row r="1937" ht="14.25">
      <c r="B1937" s="160"/>
    </row>
    <row r="1938" ht="14.25">
      <c r="B1938" s="160"/>
    </row>
    <row r="1939" ht="14.25">
      <c r="B1939" s="160"/>
    </row>
    <row r="1940" ht="14.25">
      <c r="B1940" s="160"/>
    </row>
    <row r="1941" ht="14.25">
      <c r="B1941" s="160"/>
    </row>
    <row r="1942" ht="14.25">
      <c r="B1942" s="160"/>
    </row>
    <row r="1943" ht="14.25">
      <c r="B1943" s="160"/>
    </row>
    <row r="1944" ht="14.25">
      <c r="B1944" s="160"/>
    </row>
    <row r="1945" ht="14.25">
      <c r="B1945" s="160"/>
    </row>
    <row r="1946" ht="14.25">
      <c r="B1946" s="160"/>
    </row>
    <row r="1947" ht="14.25">
      <c r="B1947" s="160"/>
    </row>
    <row r="1948" ht="14.25">
      <c r="B1948" s="160"/>
    </row>
    <row r="1949" ht="14.25">
      <c r="B1949" s="160"/>
    </row>
    <row r="1950" ht="14.25">
      <c r="B1950" s="160"/>
    </row>
    <row r="1951" ht="14.25">
      <c r="B1951" s="160"/>
    </row>
    <row r="1952" ht="14.25">
      <c r="B1952" s="160"/>
    </row>
    <row r="1953" ht="14.25">
      <c r="B1953" s="160"/>
    </row>
    <row r="1954" ht="14.25">
      <c r="B1954" s="160"/>
    </row>
    <row r="1955" ht="14.25">
      <c r="B1955" s="160"/>
    </row>
    <row r="1956" ht="14.25">
      <c r="B1956" s="160"/>
    </row>
    <row r="1957" ht="14.25">
      <c r="B1957" s="160"/>
    </row>
    <row r="1958" ht="14.25">
      <c r="B1958" s="160"/>
    </row>
    <row r="1959" ht="14.25">
      <c r="B1959" s="160"/>
    </row>
    <row r="1960" ht="14.25">
      <c r="B1960" s="160"/>
    </row>
    <row r="1961" ht="14.25">
      <c r="B1961" s="160"/>
    </row>
    <row r="1962" ht="14.25">
      <c r="B1962" s="160"/>
    </row>
    <row r="1963" ht="14.25">
      <c r="B1963" s="160"/>
    </row>
    <row r="1964" ht="14.25">
      <c r="B1964" s="160"/>
    </row>
    <row r="1965" ht="14.25">
      <c r="B1965" s="160"/>
    </row>
    <row r="1966" ht="14.25">
      <c r="B1966" s="160"/>
    </row>
    <row r="1967" ht="14.25">
      <c r="B1967" s="160"/>
    </row>
    <row r="1968" ht="14.25">
      <c r="B1968" s="160"/>
    </row>
    <row r="1969" ht="14.25">
      <c r="B1969" s="160"/>
    </row>
    <row r="1970" ht="14.25">
      <c r="B1970" s="160"/>
    </row>
    <row r="1971" ht="14.25">
      <c r="B1971" s="160"/>
    </row>
    <row r="1972" ht="14.25">
      <c r="B1972" s="160"/>
    </row>
    <row r="1973" ht="14.25">
      <c r="B1973" s="160"/>
    </row>
    <row r="1974" ht="14.25">
      <c r="B1974" s="160"/>
    </row>
    <row r="1975" ht="14.25">
      <c r="B1975" s="160"/>
    </row>
    <row r="1976" ht="14.25">
      <c r="B1976" s="160"/>
    </row>
    <row r="1977" ht="14.25">
      <c r="B1977" s="160"/>
    </row>
    <row r="1978" ht="14.25">
      <c r="B1978" s="160"/>
    </row>
    <row r="1979" ht="14.25">
      <c r="B1979" s="160"/>
    </row>
    <row r="1980" ht="14.25">
      <c r="B1980" s="160"/>
    </row>
    <row r="1981" ht="14.25">
      <c r="B1981" s="160"/>
    </row>
    <row r="1982" ht="14.25">
      <c r="B1982" s="160"/>
    </row>
    <row r="1983" ht="14.25">
      <c r="B1983" s="160"/>
    </row>
    <row r="1984" ht="14.25">
      <c r="B1984" s="160"/>
    </row>
    <row r="1985" ht="14.25">
      <c r="B1985" s="160"/>
    </row>
    <row r="1986" ht="14.25">
      <c r="B1986" s="160"/>
    </row>
    <row r="1987" ht="14.25">
      <c r="B1987" s="160"/>
    </row>
    <row r="1988" ht="14.25">
      <c r="B1988" s="160"/>
    </row>
    <row r="1989" ht="14.25">
      <c r="B1989" s="160"/>
    </row>
    <row r="1990" ht="14.25">
      <c r="B1990" s="160"/>
    </row>
    <row r="1991" ht="14.25">
      <c r="B1991" s="160"/>
    </row>
    <row r="1992" ht="14.25">
      <c r="B1992" s="160"/>
    </row>
    <row r="1993" ht="14.25">
      <c r="B1993" s="160"/>
    </row>
    <row r="1994" ht="14.25">
      <c r="B1994" s="160"/>
    </row>
    <row r="1995" ht="14.25">
      <c r="B1995" s="160"/>
    </row>
    <row r="1996" ht="14.25">
      <c r="B1996" s="160"/>
    </row>
    <row r="1997" ht="14.25">
      <c r="B1997" s="160"/>
    </row>
    <row r="1998" ht="14.25">
      <c r="B1998" s="160"/>
    </row>
    <row r="1999" ht="14.25">
      <c r="B1999" s="160"/>
    </row>
    <row r="2000" ht="14.25">
      <c r="B2000" s="160"/>
    </row>
    <row r="2001" ht="14.25">
      <c r="B2001" s="160"/>
    </row>
    <row r="2002" ht="14.25">
      <c r="B2002" s="160"/>
    </row>
    <row r="2003" ht="14.25">
      <c r="B2003" s="160"/>
    </row>
    <row r="2004" ht="14.25">
      <c r="B2004" s="160"/>
    </row>
    <row r="2005" ht="14.25">
      <c r="B2005" s="160"/>
    </row>
    <row r="2006" ht="14.25">
      <c r="B2006" s="160"/>
    </row>
    <row r="2007" ht="14.25">
      <c r="B2007" s="160"/>
    </row>
    <row r="2008" ht="14.25">
      <c r="B2008" s="160"/>
    </row>
    <row r="2009" ht="14.25">
      <c r="B2009" s="160"/>
    </row>
    <row r="2010" ht="14.25">
      <c r="B2010" s="160"/>
    </row>
    <row r="2011" ht="14.25">
      <c r="B2011" s="160"/>
    </row>
    <row r="2012" ht="14.25">
      <c r="B2012" s="160"/>
    </row>
    <row r="2013" ht="14.25">
      <c r="B2013" s="160"/>
    </row>
    <row r="2014" ht="14.25">
      <c r="B2014" s="160"/>
    </row>
    <row r="2015" ht="14.25">
      <c r="B2015" s="160"/>
    </row>
    <row r="2016" ht="14.25">
      <c r="B2016" s="160"/>
    </row>
    <row r="2017" ht="14.25">
      <c r="B2017" s="160"/>
    </row>
    <row r="2018" ht="14.25">
      <c r="B2018" s="160"/>
    </row>
    <row r="2019" ht="14.25">
      <c r="B2019" s="160"/>
    </row>
    <row r="2020" ht="14.25">
      <c r="B2020" s="160"/>
    </row>
    <row r="2021" ht="14.25">
      <c r="B2021" s="160"/>
    </row>
    <row r="2022" ht="14.25">
      <c r="B2022" s="160"/>
    </row>
    <row r="2023" ht="14.25">
      <c r="B2023" s="160"/>
    </row>
    <row r="2024" ht="14.25">
      <c r="B2024" s="160"/>
    </row>
    <row r="2025" ht="14.25">
      <c r="B2025" s="160"/>
    </row>
    <row r="2026" ht="14.25">
      <c r="B2026" s="160"/>
    </row>
    <row r="2027" ht="14.25">
      <c r="B2027" s="160"/>
    </row>
    <row r="2028" ht="14.25">
      <c r="B2028" s="160"/>
    </row>
    <row r="2029" ht="14.25">
      <c r="B2029" s="160"/>
    </row>
    <row r="2030" ht="14.25">
      <c r="B2030" s="160"/>
    </row>
    <row r="2031" ht="14.25">
      <c r="B2031" s="160"/>
    </row>
    <row r="2032" ht="14.25">
      <c r="B2032" s="160"/>
    </row>
    <row r="2033" ht="14.25">
      <c r="B2033" s="160"/>
    </row>
    <row r="2034" ht="14.25">
      <c r="B2034" s="160"/>
    </row>
    <row r="2035" ht="14.25">
      <c r="B2035" s="160"/>
    </row>
    <row r="2036" ht="14.25">
      <c r="B2036" s="160"/>
    </row>
    <row r="2037" ht="14.25">
      <c r="B2037" s="160"/>
    </row>
    <row r="2038" ht="14.25">
      <c r="B2038" s="160"/>
    </row>
    <row r="2039" ht="14.25">
      <c r="B2039" s="160"/>
    </row>
    <row r="2040" ht="14.25">
      <c r="B2040" s="160"/>
    </row>
    <row r="2041" ht="14.25">
      <c r="B2041" s="160"/>
    </row>
    <row r="2042" ht="14.25">
      <c r="B2042" s="160"/>
    </row>
    <row r="2043" ht="14.25">
      <c r="B2043" s="160"/>
    </row>
    <row r="2044" ht="14.25">
      <c r="B2044" s="160"/>
    </row>
    <row r="2045" ht="14.25">
      <c r="B2045" s="160"/>
    </row>
    <row r="2046" ht="14.25">
      <c r="B2046" s="160"/>
    </row>
    <row r="2047" ht="14.25">
      <c r="B2047" s="160"/>
    </row>
    <row r="2048" ht="14.25">
      <c r="B2048" s="160"/>
    </row>
    <row r="2049" ht="14.25">
      <c r="B2049" s="160"/>
    </row>
    <row r="2050" ht="14.25">
      <c r="B2050" s="160"/>
    </row>
    <row r="2051" ht="14.25">
      <c r="B2051" s="160"/>
    </row>
    <row r="2052" ht="14.25">
      <c r="B2052" s="160"/>
    </row>
    <row r="2053" ht="14.25">
      <c r="B2053" s="160"/>
    </row>
    <row r="2054" ht="14.25">
      <c r="B2054" s="160"/>
    </row>
    <row r="2055" ht="14.25">
      <c r="B2055" s="160"/>
    </row>
    <row r="2056" ht="14.25">
      <c r="B2056" s="160"/>
    </row>
    <row r="2057" ht="14.25">
      <c r="B2057" s="160"/>
    </row>
    <row r="2058" ht="14.25">
      <c r="B2058" s="160"/>
    </row>
    <row r="2059" ht="14.25">
      <c r="B2059" s="160"/>
    </row>
    <row r="2060" ht="14.25">
      <c r="B2060" s="160"/>
    </row>
    <row r="2061" ht="14.25">
      <c r="B2061" s="160"/>
    </row>
    <row r="2062" ht="14.25">
      <c r="B2062" s="160"/>
    </row>
    <row r="2063" ht="14.25">
      <c r="B2063" s="160"/>
    </row>
    <row r="2064" ht="14.25">
      <c r="B2064" s="160"/>
    </row>
    <row r="2065" ht="14.25">
      <c r="B2065" s="160"/>
    </row>
    <row r="2066" ht="14.25">
      <c r="B2066" s="160"/>
    </row>
    <row r="2067" ht="14.25">
      <c r="B2067" s="160"/>
    </row>
    <row r="2068" ht="14.25">
      <c r="B2068" s="160"/>
    </row>
    <row r="2069" ht="14.25">
      <c r="B2069" s="160"/>
    </row>
    <row r="2070" ht="14.25">
      <c r="B2070" s="160"/>
    </row>
    <row r="2071" ht="14.25">
      <c r="B2071" s="160"/>
    </row>
    <row r="2072" ht="14.25">
      <c r="B2072" s="160"/>
    </row>
    <row r="2073" ht="14.25">
      <c r="B2073" s="160"/>
    </row>
    <row r="2074" ht="14.25">
      <c r="B2074" s="160"/>
    </row>
    <row r="2075" ht="14.25">
      <c r="B2075" s="160"/>
    </row>
    <row r="2076" ht="14.25">
      <c r="B2076" s="160"/>
    </row>
    <row r="2077" ht="14.25">
      <c r="B2077" s="160"/>
    </row>
    <row r="2078" ht="14.25">
      <c r="B2078" s="160"/>
    </row>
    <row r="2079" ht="14.25">
      <c r="B2079" s="160"/>
    </row>
    <row r="2080" ht="14.25">
      <c r="B2080" s="160"/>
    </row>
    <row r="2081" ht="14.25">
      <c r="B2081" s="160"/>
    </row>
    <row r="2082" ht="14.25">
      <c r="B2082" s="160"/>
    </row>
    <row r="2083" ht="14.25">
      <c r="B2083" s="160"/>
    </row>
    <row r="2084" ht="14.25">
      <c r="B2084" s="160"/>
    </row>
    <row r="2085" ht="14.25">
      <c r="B2085" s="160"/>
    </row>
    <row r="2086" ht="14.25">
      <c r="B2086" s="160"/>
    </row>
    <row r="2087" ht="14.25">
      <c r="B2087" s="160"/>
    </row>
    <row r="2088" ht="14.25">
      <c r="B2088" s="160"/>
    </row>
    <row r="2089" ht="14.25">
      <c r="B2089" s="160"/>
    </row>
    <row r="2090" ht="14.25">
      <c r="B2090" s="160"/>
    </row>
    <row r="2091" ht="14.25">
      <c r="B2091" s="160"/>
    </row>
    <row r="2092" ht="14.25">
      <c r="B2092" s="160"/>
    </row>
    <row r="2093" ht="14.25">
      <c r="B2093" s="160"/>
    </row>
    <row r="2094" ht="14.25">
      <c r="B2094" s="160"/>
    </row>
    <row r="2095" ht="14.25">
      <c r="B2095" s="160"/>
    </row>
    <row r="2096" ht="14.25">
      <c r="B2096" s="160"/>
    </row>
    <row r="2097" ht="14.25">
      <c r="B2097" s="160"/>
    </row>
    <row r="2098" ht="14.25">
      <c r="B2098" s="160"/>
    </row>
    <row r="2099" ht="14.25">
      <c r="B2099" s="160"/>
    </row>
    <row r="2100" ht="14.25">
      <c r="B2100" s="160"/>
    </row>
    <row r="2101" ht="14.25">
      <c r="B2101" s="160"/>
    </row>
    <row r="2102" ht="14.25">
      <c r="B2102" s="160"/>
    </row>
    <row r="2103" ht="14.25">
      <c r="B2103" s="160"/>
    </row>
    <row r="2104" ht="14.25">
      <c r="B2104" s="160"/>
    </row>
    <row r="2105" ht="14.25">
      <c r="B2105" s="160"/>
    </row>
    <row r="2106" ht="14.25">
      <c r="B2106" s="160"/>
    </row>
    <row r="2107" ht="14.25">
      <c r="B2107" s="160"/>
    </row>
    <row r="2108" ht="14.25">
      <c r="B2108" s="160"/>
    </row>
    <row r="2109" ht="14.25">
      <c r="B2109" s="160"/>
    </row>
    <row r="2110" ht="14.25">
      <c r="B2110" s="160"/>
    </row>
    <row r="2111" ht="14.25">
      <c r="B2111" s="160"/>
    </row>
    <row r="2112" ht="14.25">
      <c r="B2112" s="160"/>
    </row>
    <row r="2113" ht="14.25">
      <c r="B2113" s="160"/>
    </row>
    <row r="2114" ht="14.25">
      <c r="B2114" s="160"/>
    </row>
    <row r="2115" ht="14.25">
      <c r="B2115" s="160"/>
    </row>
    <row r="2116" ht="14.25">
      <c r="B2116" s="160"/>
    </row>
    <row r="2117" ht="14.25">
      <c r="B2117" s="160"/>
    </row>
    <row r="2118" ht="14.25">
      <c r="B2118" s="160"/>
    </row>
    <row r="2119" ht="14.25">
      <c r="B2119" s="160"/>
    </row>
    <row r="2120" ht="14.25">
      <c r="B2120" s="160"/>
    </row>
    <row r="2121" ht="14.25">
      <c r="B2121" s="160"/>
    </row>
    <row r="2122" ht="14.25">
      <c r="B2122" s="160"/>
    </row>
    <row r="2123" ht="14.25">
      <c r="B2123" s="160"/>
    </row>
    <row r="2124" ht="14.25">
      <c r="B2124" s="160"/>
    </row>
    <row r="2125" ht="14.25">
      <c r="B2125" s="160"/>
    </row>
    <row r="2126" ht="14.25">
      <c r="B2126" s="160"/>
    </row>
    <row r="2127" ht="14.25">
      <c r="B2127" s="160"/>
    </row>
    <row r="2128" ht="14.25">
      <c r="B2128" s="160"/>
    </row>
    <row r="2129" ht="14.25">
      <c r="B2129" s="160"/>
    </row>
    <row r="2130" ht="14.25">
      <c r="B2130" s="160"/>
    </row>
    <row r="2131" ht="14.25">
      <c r="B2131" s="160"/>
    </row>
    <row r="2132" ht="14.25">
      <c r="B2132" s="160"/>
    </row>
    <row r="2133" ht="14.25">
      <c r="B2133" s="160"/>
    </row>
    <row r="2134" ht="14.25">
      <c r="B2134" s="160"/>
    </row>
    <row r="2135" ht="14.25">
      <c r="B2135" s="160"/>
    </row>
    <row r="2136" ht="14.25">
      <c r="B2136" s="160"/>
    </row>
    <row r="2137" ht="14.25">
      <c r="B2137" s="160"/>
    </row>
    <row r="2138" ht="14.25">
      <c r="B2138" s="160"/>
    </row>
    <row r="2139" ht="14.25">
      <c r="B2139" s="160"/>
    </row>
    <row r="2140" ht="14.25">
      <c r="B2140" s="160"/>
    </row>
    <row r="2141" ht="14.25">
      <c r="B2141" s="160"/>
    </row>
    <row r="2142" ht="14.25">
      <c r="B2142" s="160"/>
    </row>
    <row r="2143" ht="14.25">
      <c r="B2143" s="160"/>
    </row>
    <row r="2144" ht="14.25">
      <c r="B2144" s="160"/>
    </row>
    <row r="2145" ht="14.25">
      <c r="B2145" s="160"/>
    </row>
    <row r="2146" ht="14.25">
      <c r="B2146" s="160"/>
    </row>
    <row r="2147" ht="14.25">
      <c r="B2147" s="160"/>
    </row>
    <row r="2148" ht="14.25">
      <c r="B2148" s="160"/>
    </row>
    <row r="2149" ht="14.25">
      <c r="B2149" s="160"/>
    </row>
    <row r="2150" ht="14.25">
      <c r="B2150" s="160"/>
    </row>
    <row r="2151" ht="14.25">
      <c r="B2151" s="160"/>
    </row>
    <row r="2152" ht="14.25">
      <c r="B2152" s="160"/>
    </row>
    <row r="2153" ht="14.25">
      <c r="B2153" s="160"/>
    </row>
    <row r="2154" ht="14.25">
      <c r="B2154" s="160"/>
    </row>
    <row r="2155" ht="14.25">
      <c r="B2155" s="160"/>
    </row>
    <row r="2156" ht="14.25">
      <c r="B2156" s="160"/>
    </row>
    <row r="2157" ht="14.25">
      <c r="B2157" s="160"/>
    </row>
    <row r="2158" ht="14.25">
      <c r="B2158" s="160"/>
    </row>
    <row r="2159" ht="14.25">
      <c r="B2159" s="160"/>
    </row>
    <row r="2160" ht="14.25">
      <c r="B2160" s="160"/>
    </row>
    <row r="2161" ht="14.25">
      <c r="B2161" s="160"/>
    </row>
    <row r="2162" ht="14.25">
      <c r="B2162" s="160"/>
    </row>
    <row r="2163" ht="14.25">
      <c r="B2163" s="160"/>
    </row>
    <row r="2164" ht="14.25">
      <c r="B2164" s="160"/>
    </row>
    <row r="2165" ht="14.25">
      <c r="B2165" s="160"/>
    </row>
    <row r="2166" ht="14.25">
      <c r="B2166" s="160"/>
    </row>
    <row r="2167" ht="14.25">
      <c r="B2167" s="160"/>
    </row>
    <row r="2168" ht="14.25">
      <c r="B2168" s="160"/>
    </row>
    <row r="2169" ht="14.25">
      <c r="B2169" s="160"/>
    </row>
    <row r="2170" ht="14.25">
      <c r="B2170" s="160"/>
    </row>
    <row r="2171" ht="14.25">
      <c r="B2171" s="160"/>
    </row>
    <row r="2172" ht="14.25">
      <c r="B2172" s="160"/>
    </row>
    <row r="2173" ht="14.25">
      <c r="B2173" s="160"/>
    </row>
    <row r="2174" ht="14.25">
      <c r="B2174" s="160"/>
    </row>
    <row r="2175" ht="14.25">
      <c r="B2175" s="160"/>
    </row>
    <row r="2176" ht="14.25">
      <c r="B2176" s="160"/>
    </row>
    <row r="2177" ht="14.25">
      <c r="B2177" s="160"/>
    </row>
    <row r="2178" ht="14.25">
      <c r="B2178" s="160"/>
    </row>
    <row r="2179" ht="14.25">
      <c r="B2179" s="160"/>
    </row>
    <row r="2180" ht="14.25">
      <c r="B2180" s="160"/>
    </row>
    <row r="2181" ht="14.25">
      <c r="B2181" s="160"/>
    </row>
    <row r="2182" ht="14.25">
      <c r="B2182" s="160"/>
    </row>
    <row r="2183" ht="14.25">
      <c r="B2183" s="160"/>
    </row>
    <row r="2184" ht="14.25">
      <c r="B2184" s="160"/>
    </row>
    <row r="2185" ht="14.25">
      <c r="B2185" s="160"/>
    </row>
    <row r="2186" ht="14.25">
      <c r="B2186" s="160"/>
    </row>
    <row r="2187" ht="14.25">
      <c r="B2187" s="160"/>
    </row>
    <row r="2188" ht="14.25">
      <c r="B2188" s="160"/>
    </row>
    <row r="2189" ht="14.25">
      <c r="B2189" s="160"/>
    </row>
    <row r="2190" ht="14.25">
      <c r="B2190" s="160"/>
    </row>
    <row r="2191" ht="14.25">
      <c r="B2191" s="160"/>
    </row>
    <row r="2192" ht="14.25">
      <c r="B2192" s="160"/>
    </row>
    <row r="2193" ht="14.25">
      <c r="B2193" s="160"/>
    </row>
    <row r="2194" ht="14.25">
      <c r="B2194" s="160"/>
    </row>
    <row r="2195" ht="14.25">
      <c r="B2195" s="160"/>
    </row>
    <row r="2196" ht="14.25">
      <c r="B2196" s="160"/>
    </row>
    <row r="2197" ht="14.25">
      <c r="B2197" s="160"/>
    </row>
    <row r="2198" ht="14.25">
      <c r="B2198" s="160"/>
    </row>
    <row r="2199" ht="14.25">
      <c r="B2199" s="160"/>
    </row>
    <row r="2200" ht="14.25">
      <c r="B2200" s="160"/>
    </row>
    <row r="2201" ht="14.25">
      <c r="B2201" s="160"/>
    </row>
    <row r="2202" ht="14.25">
      <c r="B2202" s="160"/>
    </row>
    <row r="2203" ht="14.25">
      <c r="B2203" s="160"/>
    </row>
    <row r="2204" ht="14.25">
      <c r="B2204" s="160"/>
    </row>
    <row r="2205" ht="14.25">
      <c r="B2205" s="160"/>
    </row>
    <row r="2206" ht="14.25">
      <c r="B2206" s="160"/>
    </row>
    <row r="2207" ht="14.25">
      <c r="B2207" s="160"/>
    </row>
    <row r="2208" ht="14.25">
      <c r="B2208" s="160"/>
    </row>
    <row r="2209" ht="14.25">
      <c r="B2209" s="160"/>
    </row>
    <row r="2210" ht="14.25">
      <c r="B2210" s="160"/>
    </row>
    <row r="2211" ht="14.25">
      <c r="B2211" s="160"/>
    </row>
    <row r="2212" ht="14.25">
      <c r="B2212" s="160"/>
    </row>
    <row r="2213" ht="14.25">
      <c r="B2213" s="160"/>
    </row>
    <row r="2214" ht="14.25">
      <c r="B2214" s="160"/>
    </row>
    <row r="2215" ht="14.25">
      <c r="B2215" s="160"/>
    </row>
    <row r="2216" ht="14.25">
      <c r="B2216" s="160"/>
    </row>
    <row r="2217" ht="14.25">
      <c r="B2217" s="160"/>
    </row>
    <row r="2218" ht="14.25">
      <c r="B2218" s="160"/>
    </row>
    <row r="2219" ht="14.25">
      <c r="B2219" s="160"/>
    </row>
    <row r="2220" ht="14.25">
      <c r="B2220" s="160"/>
    </row>
    <row r="2221" ht="14.25">
      <c r="B2221" s="160"/>
    </row>
    <row r="2222" ht="14.25">
      <c r="B2222" s="160"/>
    </row>
    <row r="2223" ht="14.25">
      <c r="B2223" s="160"/>
    </row>
    <row r="2224" ht="14.25">
      <c r="B2224" s="160"/>
    </row>
    <row r="2225" ht="14.25">
      <c r="B2225" s="160"/>
    </row>
    <row r="2226" ht="14.25">
      <c r="B2226" s="160"/>
    </row>
    <row r="2227" ht="14.25">
      <c r="B2227" s="160"/>
    </row>
    <row r="2228" ht="14.25">
      <c r="B2228" s="160"/>
    </row>
    <row r="2229" ht="14.25">
      <c r="B2229" s="160"/>
    </row>
    <row r="2230" ht="14.25">
      <c r="B2230" s="160"/>
    </row>
    <row r="2231" ht="14.25">
      <c r="B2231" s="160"/>
    </row>
    <row r="2232" ht="14.25">
      <c r="B2232" s="160"/>
    </row>
    <row r="2233" ht="14.25">
      <c r="B2233" s="160"/>
    </row>
    <row r="2234" ht="14.25">
      <c r="B2234" s="160"/>
    </row>
    <row r="2235" ht="14.25">
      <c r="B2235" s="160"/>
    </row>
    <row r="2236" ht="14.25">
      <c r="B2236" s="160"/>
    </row>
    <row r="2237" ht="14.25">
      <c r="B2237" s="160"/>
    </row>
    <row r="2238" ht="14.25">
      <c r="B2238" s="160"/>
    </row>
    <row r="2239" ht="14.25">
      <c r="B2239" s="160"/>
    </row>
    <row r="2240" ht="14.25">
      <c r="B2240" s="160"/>
    </row>
    <row r="2241" ht="14.25">
      <c r="B2241" s="160"/>
    </row>
    <row r="2242" ht="14.25">
      <c r="B2242" s="160"/>
    </row>
    <row r="2243" ht="14.25">
      <c r="B2243" s="160"/>
    </row>
    <row r="2244" ht="14.25">
      <c r="B2244" s="160"/>
    </row>
    <row r="2245" ht="14.25">
      <c r="B2245" s="160"/>
    </row>
    <row r="2246" ht="14.25">
      <c r="B2246" s="160"/>
    </row>
    <row r="2247" ht="14.25">
      <c r="B2247" s="160"/>
    </row>
    <row r="2248" ht="14.25">
      <c r="B2248" s="160"/>
    </row>
    <row r="2249" ht="14.25">
      <c r="B2249" s="160"/>
    </row>
    <row r="2250" ht="14.25">
      <c r="B2250" s="160"/>
    </row>
    <row r="2251" ht="14.25">
      <c r="B2251" s="160"/>
    </row>
    <row r="2252" ht="14.25">
      <c r="B2252" s="160"/>
    </row>
    <row r="2253" ht="14.25">
      <c r="B2253" s="160"/>
    </row>
    <row r="2254" ht="14.25">
      <c r="B2254" s="160"/>
    </row>
    <row r="2255" ht="14.25">
      <c r="B2255" s="160"/>
    </row>
    <row r="2256" ht="14.25">
      <c r="B2256" s="160"/>
    </row>
    <row r="2257" ht="14.25">
      <c r="B2257" s="160"/>
    </row>
    <row r="2258" ht="14.25">
      <c r="B2258" s="160"/>
    </row>
    <row r="2259" ht="14.25">
      <c r="B2259" s="160"/>
    </row>
    <row r="2260" ht="14.25">
      <c r="B2260" s="160"/>
    </row>
    <row r="2261" ht="14.25">
      <c r="B2261" s="160"/>
    </row>
    <row r="2262" ht="14.25">
      <c r="B2262" s="160"/>
    </row>
    <row r="2263" ht="14.25">
      <c r="B2263" s="160"/>
    </row>
    <row r="2264" ht="14.25">
      <c r="B2264" s="160"/>
    </row>
    <row r="2265" ht="14.25">
      <c r="B2265" s="160"/>
    </row>
    <row r="2266" ht="14.25">
      <c r="B2266" s="160"/>
    </row>
    <row r="2267" ht="14.25">
      <c r="B2267" s="160"/>
    </row>
    <row r="2268" ht="14.25">
      <c r="B2268" s="160"/>
    </row>
    <row r="2269" ht="14.25">
      <c r="B2269" s="160"/>
    </row>
    <row r="2270" ht="14.25">
      <c r="B2270" s="160"/>
    </row>
    <row r="2271" ht="14.25">
      <c r="B2271" s="160"/>
    </row>
    <row r="2272" ht="14.25">
      <c r="B2272" s="160"/>
    </row>
    <row r="2273" ht="14.25">
      <c r="B2273" s="160"/>
    </row>
    <row r="2274" ht="14.25">
      <c r="B2274" s="160"/>
    </row>
    <row r="2275" ht="14.25">
      <c r="B2275" s="160"/>
    </row>
    <row r="2276" ht="14.25">
      <c r="B2276" s="160"/>
    </row>
    <row r="2277" ht="14.25">
      <c r="B2277" s="160"/>
    </row>
    <row r="2278" ht="14.25">
      <c r="B2278" s="160"/>
    </row>
    <row r="2279" ht="14.25">
      <c r="B2279" s="160"/>
    </row>
    <row r="2280" ht="14.25">
      <c r="B2280" s="160"/>
    </row>
    <row r="2281" ht="14.25">
      <c r="B2281" s="160"/>
    </row>
    <row r="2282" ht="14.25">
      <c r="B2282" s="160"/>
    </row>
    <row r="2283" ht="14.25">
      <c r="B2283" s="160"/>
    </row>
    <row r="2284" ht="14.25">
      <c r="B2284" s="160"/>
    </row>
    <row r="2285" ht="14.25">
      <c r="B2285" s="160"/>
    </row>
    <row r="2286" ht="14.25">
      <c r="B2286" s="160"/>
    </row>
    <row r="2287" ht="14.25">
      <c r="B2287" s="160"/>
    </row>
    <row r="2288" ht="14.25">
      <c r="B2288" s="160"/>
    </row>
    <row r="2289" ht="14.25">
      <c r="B2289" s="160"/>
    </row>
    <row r="2290" ht="14.25">
      <c r="B2290" s="160"/>
    </row>
    <row r="2291" ht="14.25">
      <c r="B2291" s="160"/>
    </row>
    <row r="2292" ht="14.25">
      <c r="B2292" s="160"/>
    </row>
    <row r="2293" ht="14.25">
      <c r="B2293" s="160"/>
    </row>
    <row r="2294" ht="14.25">
      <c r="B2294" s="160"/>
    </row>
    <row r="2295" ht="14.25">
      <c r="B2295" s="160"/>
    </row>
    <row r="2296" ht="14.25">
      <c r="B2296" s="160"/>
    </row>
    <row r="2297" ht="14.25">
      <c r="B2297" s="160"/>
    </row>
    <row r="2298" ht="14.25">
      <c r="B2298" s="160"/>
    </row>
    <row r="2299" ht="14.25">
      <c r="B2299" s="160"/>
    </row>
    <row r="2300" ht="14.25">
      <c r="B2300" s="160"/>
    </row>
    <row r="2301" ht="14.25">
      <c r="B2301" s="160"/>
    </row>
    <row r="2302" ht="14.25">
      <c r="B2302" s="160"/>
    </row>
    <row r="2303" ht="14.25">
      <c r="B2303" s="160"/>
    </row>
    <row r="2304" ht="14.25">
      <c r="B2304" s="160"/>
    </row>
    <row r="2305" ht="14.25">
      <c r="B2305" s="160"/>
    </row>
    <row r="2306" ht="14.25">
      <c r="B2306" s="160"/>
    </row>
    <row r="2307" ht="14.25">
      <c r="B2307" s="160"/>
    </row>
    <row r="2308" ht="14.25">
      <c r="B2308" s="160"/>
    </row>
    <row r="2309" ht="14.25">
      <c r="B2309" s="160"/>
    </row>
    <row r="2310" ht="14.25">
      <c r="B2310" s="160"/>
    </row>
    <row r="2311" ht="14.25">
      <c r="B2311" s="160"/>
    </row>
    <row r="2312" ht="14.25">
      <c r="B2312" s="160"/>
    </row>
    <row r="2313" ht="14.25">
      <c r="B2313" s="160"/>
    </row>
    <row r="2314" ht="14.25">
      <c r="B2314" s="160"/>
    </row>
    <row r="2315" ht="14.25">
      <c r="B2315" s="160"/>
    </row>
    <row r="2316" ht="14.25">
      <c r="B2316" s="160"/>
    </row>
    <row r="2317" ht="14.25">
      <c r="B2317" s="160"/>
    </row>
    <row r="2318" ht="14.25">
      <c r="B2318" s="160"/>
    </row>
    <row r="2319" ht="14.25">
      <c r="B2319" s="160"/>
    </row>
    <row r="2320" ht="14.25">
      <c r="B2320" s="160"/>
    </row>
    <row r="2321" ht="14.25">
      <c r="B2321" s="160"/>
    </row>
    <row r="2322" ht="14.25">
      <c r="B2322" s="160"/>
    </row>
    <row r="2323" ht="14.25">
      <c r="B2323" s="160"/>
    </row>
    <row r="2324" ht="14.25">
      <c r="B2324" s="160"/>
    </row>
    <row r="2325" ht="14.25">
      <c r="B2325" s="160"/>
    </row>
    <row r="2326" ht="14.25">
      <c r="B2326" s="160"/>
    </row>
    <row r="2327" ht="14.25">
      <c r="B2327" s="160"/>
    </row>
    <row r="2328" ht="14.25">
      <c r="B2328" s="160"/>
    </row>
    <row r="2329" ht="14.25">
      <c r="B2329" s="160"/>
    </row>
    <row r="2330" ht="14.25">
      <c r="B2330" s="160"/>
    </row>
    <row r="2331" ht="14.25">
      <c r="B2331" s="160"/>
    </row>
    <row r="2332" ht="14.25">
      <c r="B2332" s="160"/>
    </row>
    <row r="2333" ht="14.25">
      <c r="B2333" s="160"/>
    </row>
    <row r="2334" ht="14.25">
      <c r="B2334" s="160"/>
    </row>
    <row r="2335" ht="14.25">
      <c r="B2335" s="160"/>
    </row>
    <row r="2336" ht="14.25">
      <c r="B2336" s="160"/>
    </row>
    <row r="2337" ht="14.25">
      <c r="B2337" s="160"/>
    </row>
    <row r="2338" ht="14.25">
      <c r="B2338" s="160"/>
    </row>
    <row r="2339" ht="14.25">
      <c r="B2339" s="160"/>
    </row>
    <row r="2340" ht="14.25">
      <c r="B2340" s="160"/>
    </row>
    <row r="2341" ht="14.25">
      <c r="B2341" s="160"/>
    </row>
    <row r="2342" ht="14.25">
      <c r="B2342" s="160"/>
    </row>
    <row r="2343" ht="14.25">
      <c r="B2343" s="160"/>
    </row>
    <row r="2344" ht="14.25">
      <c r="B2344" s="160"/>
    </row>
    <row r="2345" ht="14.25">
      <c r="B2345" s="160"/>
    </row>
    <row r="2346" ht="14.25">
      <c r="B2346" s="160"/>
    </row>
    <row r="2347" ht="14.25">
      <c r="B2347" s="160"/>
    </row>
    <row r="2348" ht="14.25">
      <c r="B2348" s="160"/>
    </row>
    <row r="2349" ht="14.25">
      <c r="B2349" s="160"/>
    </row>
    <row r="2350" ht="14.25">
      <c r="B2350" s="160"/>
    </row>
    <row r="2351" ht="14.25">
      <c r="B2351" s="160"/>
    </row>
    <row r="2352" ht="14.25">
      <c r="B2352" s="160"/>
    </row>
    <row r="2353" ht="14.25">
      <c r="B2353" s="160"/>
    </row>
    <row r="2354" ht="14.25">
      <c r="B2354" s="160"/>
    </row>
    <row r="2355" ht="14.25">
      <c r="B2355" s="160"/>
    </row>
    <row r="2356" ht="14.25">
      <c r="B2356" s="160"/>
    </row>
    <row r="2357" ht="14.25">
      <c r="B2357" s="160"/>
    </row>
    <row r="2358" ht="14.25">
      <c r="B2358" s="160"/>
    </row>
    <row r="2359" ht="14.25">
      <c r="B2359" s="160"/>
    </row>
    <row r="2360" ht="14.25">
      <c r="B2360" s="160"/>
    </row>
    <row r="2361" ht="14.25">
      <c r="B2361" s="160"/>
    </row>
    <row r="2362" ht="14.25">
      <c r="B2362" s="160"/>
    </row>
    <row r="2363" ht="14.25">
      <c r="B2363" s="160"/>
    </row>
    <row r="2364" ht="14.25">
      <c r="B2364" s="160"/>
    </row>
    <row r="2365" ht="14.25">
      <c r="B2365" s="160"/>
    </row>
    <row r="2366" ht="14.25">
      <c r="B2366" s="160"/>
    </row>
    <row r="2367" ht="14.25">
      <c r="B2367" s="160"/>
    </row>
    <row r="2368" ht="14.25">
      <c r="B2368" s="160"/>
    </row>
    <row r="2369" ht="14.25">
      <c r="B2369" s="160"/>
    </row>
    <row r="2370" ht="14.25">
      <c r="B2370" s="160"/>
    </row>
    <row r="2371" ht="14.25">
      <c r="B2371" s="160"/>
    </row>
    <row r="2372" ht="14.25">
      <c r="B2372" s="160"/>
    </row>
    <row r="2373" ht="14.25">
      <c r="B2373" s="160"/>
    </row>
    <row r="2374" ht="14.25">
      <c r="B2374" s="160"/>
    </row>
    <row r="2375" ht="14.25">
      <c r="B2375" s="160"/>
    </row>
    <row r="2376" ht="14.25">
      <c r="B2376" s="160"/>
    </row>
    <row r="2377" ht="14.25">
      <c r="B2377" s="160"/>
    </row>
    <row r="2378" ht="14.25">
      <c r="B2378" s="160"/>
    </row>
    <row r="2379" ht="14.25">
      <c r="B2379" s="160"/>
    </row>
    <row r="2380" ht="14.25">
      <c r="B2380" s="160"/>
    </row>
    <row r="2381" ht="14.25">
      <c r="B2381" s="160"/>
    </row>
    <row r="2382" ht="14.25">
      <c r="B2382" s="160"/>
    </row>
    <row r="2383" ht="14.25">
      <c r="B2383" s="160"/>
    </row>
    <row r="2384" ht="14.25">
      <c r="B2384" s="160"/>
    </row>
    <row r="2385" ht="14.25">
      <c r="B2385" s="160"/>
    </row>
    <row r="2386" ht="14.25">
      <c r="B2386" s="160"/>
    </row>
    <row r="2387" ht="14.25">
      <c r="B2387" s="160"/>
    </row>
    <row r="2388" ht="14.25">
      <c r="B2388" s="160"/>
    </row>
    <row r="2389" ht="14.25">
      <c r="B2389" s="160"/>
    </row>
    <row r="2390" ht="14.25">
      <c r="B2390" s="160"/>
    </row>
    <row r="2391" ht="14.25">
      <c r="B2391" s="160"/>
    </row>
    <row r="2392" ht="14.25">
      <c r="B2392" s="160"/>
    </row>
    <row r="2393" ht="14.25">
      <c r="B2393" s="160"/>
    </row>
    <row r="2394" ht="14.25">
      <c r="B2394" s="160"/>
    </row>
    <row r="2395" ht="14.25">
      <c r="B2395" s="160"/>
    </row>
    <row r="2396" ht="14.25">
      <c r="B2396" s="160"/>
    </row>
    <row r="2397" ht="14.25">
      <c r="B2397" s="160"/>
    </row>
    <row r="2398" ht="14.25">
      <c r="B2398" s="160"/>
    </row>
    <row r="2399" ht="14.25">
      <c r="B2399" s="160"/>
    </row>
    <row r="2400" ht="14.25">
      <c r="B2400" s="160"/>
    </row>
    <row r="2401" ht="14.25">
      <c r="B2401" s="160"/>
    </row>
    <row r="2402" ht="14.25">
      <c r="B2402" s="160"/>
    </row>
    <row r="2403" ht="14.25">
      <c r="B2403" s="160"/>
    </row>
    <row r="2404" ht="14.25">
      <c r="B2404" s="160"/>
    </row>
    <row r="2405" ht="14.25">
      <c r="B2405" s="160"/>
    </row>
    <row r="2406" ht="14.25">
      <c r="B2406" s="160"/>
    </row>
    <row r="2407" ht="14.25">
      <c r="B2407" s="160"/>
    </row>
    <row r="2408" ht="14.25">
      <c r="B2408" s="160"/>
    </row>
    <row r="2409" ht="14.25">
      <c r="B2409" s="160"/>
    </row>
    <row r="2410" ht="14.25">
      <c r="B2410" s="160"/>
    </row>
    <row r="2411" ht="14.25">
      <c r="B2411" s="160"/>
    </row>
    <row r="2412" ht="14.25">
      <c r="B2412" s="160"/>
    </row>
    <row r="2413" ht="14.25">
      <c r="B2413" s="160"/>
    </row>
    <row r="2414" ht="14.25">
      <c r="B2414" s="160"/>
    </row>
    <row r="2415" ht="14.25">
      <c r="B2415" s="160"/>
    </row>
    <row r="2416" ht="14.25">
      <c r="B2416" s="160"/>
    </row>
    <row r="2417" ht="14.25">
      <c r="B2417" s="160"/>
    </row>
    <row r="2418" ht="14.25">
      <c r="B2418" s="160"/>
    </row>
    <row r="2419" ht="14.25">
      <c r="B2419" s="160"/>
    </row>
    <row r="2420" ht="14.25">
      <c r="B2420" s="160"/>
    </row>
    <row r="2421" ht="14.25">
      <c r="B2421" s="160"/>
    </row>
    <row r="2422" ht="14.25">
      <c r="B2422" s="160"/>
    </row>
    <row r="2423" ht="14.25">
      <c r="B2423" s="160"/>
    </row>
    <row r="2424" ht="14.25">
      <c r="B2424" s="160"/>
    </row>
    <row r="2425" ht="14.25">
      <c r="B2425" s="160"/>
    </row>
    <row r="2426" ht="14.25">
      <c r="B2426" s="160"/>
    </row>
    <row r="2427" ht="14.25">
      <c r="B2427" s="160"/>
    </row>
    <row r="2428" ht="14.25">
      <c r="B2428" s="160"/>
    </row>
    <row r="2429" ht="14.25">
      <c r="B2429" s="160"/>
    </row>
    <row r="2430" ht="14.25">
      <c r="B2430" s="160"/>
    </row>
    <row r="2431" ht="14.25">
      <c r="B2431" s="160"/>
    </row>
    <row r="2432" ht="14.25">
      <c r="B2432" s="160"/>
    </row>
    <row r="2433" ht="14.25">
      <c r="B2433" s="160"/>
    </row>
    <row r="2434" ht="14.25">
      <c r="B2434" s="160"/>
    </row>
    <row r="2435" ht="14.25">
      <c r="B2435" s="160"/>
    </row>
    <row r="2436" ht="14.25">
      <c r="B2436" s="160"/>
    </row>
    <row r="2437" ht="14.25">
      <c r="B2437" s="160"/>
    </row>
    <row r="2438" ht="14.25">
      <c r="B2438" s="160"/>
    </row>
    <row r="2439" ht="14.25">
      <c r="B2439" s="160"/>
    </row>
    <row r="2440" ht="14.25">
      <c r="B2440" s="160"/>
    </row>
    <row r="2441" ht="14.25">
      <c r="B2441" s="160"/>
    </row>
    <row r="2442" ht="14.25">
      <c r="B2442" s="160"/>
    </row>
    <row r="2443" ht="14.25">
      <c r="B2443" s="160"/>
    </row>
    <row r="2444" ht="14.25">
      <c r="B2444" s="160"/>
    </row>
    <row r="2445" ht="14.25">
      <c r="B2445" s="160"/>
    </row>
    <row r="2446" ht="14.25">
      <c r="B2446" s="160"/>
    </row>
    <row r="2447" ht="14.25">
      <c r="B2447" s="160"/>
    </row>
    <row r="2448" ht="14.25">
      <c r="B2448" s="160"/>
    </row>
    <row r="2449" ht="14.25">
      <c r="B2449" s="160"/>
    </row>
    <row r="2450" ht="14.25">
      <c r="B2450" s="160"/>
    </row>
    <row r="2451" ht="14.25">
      <c r="B2451" s="160"/>
    </row>
    <row r="2452" ht="14.25">
      <c r="B2452" s="160"/>
    </row>
    <row r="2453" ht="14.25">
      <c r="B2453" s="160"/>
    </row>
    <row r="2454" ht="14.25">
      <c r="B2454" s="160"/>
    </row>
    <row r="2455" ht="14.25">
      <c r="B2455" s="160"/>
    </row>
    <row r="2456" ht="14.25">
      <c r="B2456" s="160"/>
    </row>
    <row r="2457" ht="14.25">
      <c r="B2457" s="160"/>
    </row>
  </sheetData>
  <sheetProtection/>
  <mergeCells count="32">
    <mergeCell ref="O34:Q37"/>
    <mergeCell ref="V42:W42"/>
    <mergeCell ref="BJ42:BK42"/>
    <mergeCell ref="O30:O31"/>
    <mergeCell ref="P30:Q31"/>
    <mergeCell ref="CX42:CY42"/>
    <mergeCell ref="B6:F6"/>
    <mergeCell ref="B7:F7"/>
    <mergeCell ref="P24:Q25"/>
    <mergeCell ref="J25:J26"/>
    <mergeCell ref="J28:J29"/>
    <mergeCell ref="O27:O28"/>
    <mergeCell ref="K25:M26"/>
    <mergeCell ref="J34:M37"/>
    <mergeCell ref="CD42:CE42"/>
    <mergeCell ref="Y1:AI1"/>
    <mergeCell ref="D1:P1"/>
    <mergeCell ref="B3:F3"/>
    <mergeCell ref="B4:F4"/>
    <mergeCell ref="B5:F5"/>
    <mergeCell ref="AP42:AQ42"/>
    <mergeCell ref="K28:M29"/>
    <mergeCell ref="O13:Q14"/>
    <mergeCell ref="B20:B21"/>
    <mergeCell ref="B40:B41"/>
    <mergeCell ref="B8:F8"/>
    <mergeCell ref="J13:M14"/>
    <mergeCell ref="O24:O25"/>
    <mergeCell ref="P27:Q28"/>
    <mergeCell ref="H5:O5"/>
    <mergeCell ref="H7:O8"/>
    <mergeCell ref="B13:G14"/>
  </mergeCells>
  <printOptions/>
  <pageMargins left="0.5511811023622047" right="0.31496062992125984" top="0.2755905511811024" bottom="0.35433070866141736" header="0.1968503937007874" footer="0.15748031496062992"/>
  <pageSetup fitToWidth="2" fitToHeight="1" horizontalDpi="600" verticalDpi="600" orientation="landscape" paperSize="9" scale="49" r:id="rId2"/>
  <headerFooter>
    <oddFooter>&amp;L&amp;"Arial,Normal"&amp;8&amp;Z&amp;F&amp;"-,Normal"&amp;11
&amp;C&amp;"Arial,Normal"&amp;8&amp;D &amp;T</oddFooter>
  </headerFooter>
  <ignoredErrors>
    <ignoredError sqref="AS9:AW9 AY9 AZ9:BB9 BC9:BF9 F17:F18 AR11 AS11:BF12 AS19:BD19 BE19:BF19 CZ11:DN1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59"/>
  <sheetViews>
    <sheetView zoomScalePageLayoutView="0" workbookViewId="0" topLeftCell="A1">
      <selection activeCell="J42" sqref="J42"/>
    </sheetView>
  </sheetViews>
  <sheetFormatPr defaultColWidth="9.140625" defaultRowHeight="15"/>
  <cols>
    <col min="1" max="1" width="5.57421875" style="53" customWidth="1"/>
    <col min="2" max="9" width="9.140625" style="53" customWidth="1"/>
    <col min="10" max="10" width="24.28125" style="53" customWidth="1"/>
    <col min="11" max="11" width="13.421875" style="53" customWidth="1"/>
    <col min="12" max="14" width="9.140625" style="53" customWidth="1"/>
    <col min="15" max="15" width="5.8515625" style="53" customWidth="1"/>
    <col min="16" max="16384" width="9.140625" style="53" customWidth="1"/>
  </cols>
  <sheetData>
    <row r="1" ht="36" customHeight="1">
      <c r="B1" s="319" t="s">
        <v>217</v>
      </c>
    </row>
    <row r="2" ht="19.5" customHeight="1"/>
    <row r="3" spans="2:14" ht="60" customHeight="1">
      <c r="B3" s="451" t="s">
        <v>182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2:14" ht="15" customHeight="1"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2:14" ht="15" customHeight="1">
      <c r="B5" s="201" t="s">
        <v>224</v>
      </c>
      <c r="C5" s="201"/>
      <c r="D5" s="201"/>
      <c r="E5" s="201"/>
      <c r="F5" s="201"/>
      <c r="G5" s="379">
        <v>1</v>
      </c>
      <c r="H5" s="201" t="s">
        <v>225</v>
      </c>
      <c r="I5" s="201"/>
      <c r="J5" s="201"/>
      <c r="K5" s="201" t="s">
        <v>228</v>
      </c>
      <c r="L5" s="201"/>
      <c r="M5" s="201"/>
      <c r="N5" s="201"/>
    </row>
    <row r="6" spans="2:14" ht="15" customHeight="1">
      <c r="B6" s="201"/>
      <c r="C6" s="201"/>
      <c r="D6" s="201"/>
      <c r="E6" s="201"/>
      <c r="F6" s="201"/>
      <c r="G6" s="379">
        <v>2</v>
      </c>
      <c r="H6" s="201" t="s">
        <v>226</v>
      </c>
      <c r="I6" s="201"/>
      <c r="J6" s="201"/>
      <c r="K6" s="201" t="s">
        <v>227</v>
      </c>
      <c r="L6" s="201"/>
      <c r="M6" s="201"/>
      <c r="N6" s="201"/>
    </row>
    <row r="7" spans="2:14" ht="15" customHeight="1"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2:14" ht="15" customHeight="1">
      <c r="B8" s="451" t="s">
        <v>213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</row>
    <row r="9" spans="2:14" ht="15" customHeight="1"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</row>
    <row r="10" spans="2:14" ht="15" customHeight="1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</row>
    <row r="11" spans="2:14" ht="15" customHeight="1">
      <c r="B11" s="308" t="s">
        <v>175</v>
      </c>
      <c r="C11" s="201"/>
      <c r="D11" s="201"/>
      <c r="E11" s="201"/>
      <c r="F11" s="201" t="s">
        <v>179</v>
      </c>
      <c r="G11" s="201"/>
      <c r="H11" s="201"/>
      <c r="I11" s="201"/>
      <c r="J11" s="201"/>
      <c r="K11" s="201"/>
      <c r="L11" s="201"/>
      <c r="M11" s="201"/>
      <c r="N11" s="201"/>
    </row>
    <row r="12" spans="2:14" ht="15" customHeight="1">
      <c r="B12" s="308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</row>
    <row r="13" spans="2:14" ht="15" customHeight="1">
      <c r="B13" s="308" t="s">
        <v>176</v>
      </c>
      <c r="C13" s="201"/>
      <c r="D13" s="201"/>
      <c r="E13" s="201"/>
      <c r="F13" s="201" t="s">
        <v>180</v>
      </c>
      <c r="G13" s="201"/>
      <c r="H13" s="201"/>
      <c r="I13" s="201"/>
      <c r="J13" s="201"/>
      <c r="K13" s="201"/>
      <c r="L13" s="201"/>
      <c r="M13" s="201"/>
      <c r="N13" s="201"/>
    </row>
    <row r="14" spans="2:14" ht="15" customHeight="1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2:14" ht="15" customHeight="1">
      <c r="B15" s="308" t="s">
        <v>177</v>
      </c>
      <c r="C15" s="201"/>
      <c r="D15" s="201"/>
      <c r="E15" s="201"/>
      <c r="F15" s="453" t="s">
        <v>229</v>
      </c>
      <c r="G15" s="453"/>
      <c r="H15" s="453"/>
      <c r="I15" s="453"/>
      <c r="J15" s="453"/>
      <c r="K15" s="453"/>
      <c r="L15" s="453"/>
      <c r="M15" s="453"/>
      <c r="N15" s="453"/>
    </row>
    <row r="16" spans="2:14" ht="15" customHeight="1">
      <c r="B16" s="201"/>
      <c r="C16" s="201"/>
      <c r="D16" s="201"/>
      <c r="E16" s="201"/>
      <c r="F16" s="453"/>
      <c r="G16" s="453"/>
      <c r="H16" s="453"/>
      <c r="I16" s="453"/>
      <c r="J16" s="453"/>
      <c r="K16" s="453"/>
      <c r="L16" s="453"/>
      <c r="M16" s="453"/>
      <c r="N16" s="453"/>
    </row>
    <row r="17" spans="2:14" ht="15" customHeight="1">
      <c r="B17" s="322" t="s">
        <v>178</v>
      </c>
      <c r="C17" s="323"/>
      <c r="D17" s="323"/>
      <c r="E17" s="323"/>
      <c r="F17" s="453" t="s">
        <v>199</v>
      </c>
      <c r="G17" s="453"/>
      <c r="H17" s="453"/>
      <c r="I17" s="453"/>
      <c r="J17" s="453"/>
      <c r="K17" s="453"/>
      <c r="L17" s="453"/>
      <c r="M17" s="453"/>
      <c r="N17" s="453"/>
    </row>
    <row r="18" spans="2:14" ht="15" customHeight="1"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2:14" ht="15" customHeight="1">
      <c r="B19" s="308" t="s">
        <v>183</v>
      </c>
      <c r="C19" s="201"/>
      <c r="D19" s="201"/>
      <c r="E19" s="201"/>
      <c r="F19" s="201" t="s">
        <v>202</v>
      </c>
      <c r="G19" s="201"/>
      <c r="H19" s="201"/>
      <c r="I19" s="201"/>
      <c r="J19" s="201"/>
      <c r="K19" s="201"/>
      <c r="L19" s="201"/>
      <c r="M19" s="201"/>
      <c r="N19" s="201"/>
    </row>
    <row r="20" spans="2:14" ht="15" customHeight="1">
      <c r="B20" s="308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</row>
    <row r="21" spans="2:14" ht="15" customHeight="1">
      <c r="B21" s="308" t="s">
        <v>201</v>
      </c>
      <c r="C21" s="201"/>
      <c r="D21" s="201"/>
      <c r="E21" s="201"/>
      <c r="F21" s="201" t="s">
        <v>203</v>
      </c>
      <c r="G21" s="201"/>
      <c r="H21" s="201"/>
      <c r="I21" s="201"/>
      <c r="J21" s="201"/>
      <c r="K21" s="201"/>
      <c r="L21" s="201"/>
      <c r="M21" s="201"/>
      <c r="N21" s="201"/>
    </row>
    <row r="22" spans="2:14" ht="15" customHeight="1"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2:14" ht="15" customHeight="1">
      <c r="B23" s="308" t="s">
        <v>184</v>
      </c>
      <c r="C23" s="201"/>
      <c r="D23" s="201"/>
      <c r="E23" s="201"/>
      <c r="F23" s="201" t="s">
        <v>185</v>
      </c>
      <c r="G23" s="201"/>
      <c r="H23" s="201"/>
      <c r="I23" s="201"/>
      <c r="J23" s="201"/>
      <c r="K23" s="201"/>
      <c r="L23" s="201"/>
      <c r="M23" s="201"/>
      <c r="N23" s="201"/>
    </row>
    <row r="24" spans="2:14" ht="15" customHeight="1"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2:14" ht="17.25" customHeight="1">
      <c r="B25" s="308" t="s">
        <v>186</v>
      </c>
      <c r="C25" s="201"/>
      <c r="D25" s="201"/>
      <c r="E25" s="201"/>
      <c r="F25" s="453" t="s">
        <v>230</v>
      </c>
      <c r="G25" s="453"/>
      <c r="H25" s="453"/>
      <c r="I25" s="453"/>
      <c r="J25" s="453"/>
      <c r="K25" s="453"/>
      <c r="L25" s="453"/>
      <c r="M25" s="453"/>
      <c r="N25" s="453"/>
    </row>
    <row r="26" spans="2:14" ht="15" customHeight="1">
      <c r="B26" s="201"/>
      <c r="C26" s="201"/>
      <c r="D26" s="201"/>
      <c r="E26" s="201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2:14" ht="15" customHeight="1">
      <c r="B27" s="308" t="s">
        <v>189</v>
      </c>
      <c r="C27" s="201"/>
      <c r="D27" s="201"/>
      <c r="E27" s="201"/>
      <c r="F27" s="451" t="s">
        <v>231</v>
      </c>
      <c r="G27" s="451"/>
      <c r="H27" s="451"/>
      <c r="I27" s="451"/>
      <c r="J27" s="451"/>
      <c r="K27" s="451"/>
      <c r="L27" s="451"/>
      <c r="M27" s="451"/>
      <c r="N27" s="451"/>
    </row>
    <row r="28" spans="2:14" ht="15" customHeight="1">
      <c r="B28" s="201"/>
      <c r="C28" s="201"/>
      <c r="D28" s="201"/>
      <c r="E28" s="201"/>
      <c r="F28" s="451"/>
      <c r="G28" s="451"/>
      <c r="H28" s="451"/>
      <c r="I28" s="451"/>
      <c r="J28" s="451"/>
      <c r="K28" s="451"/>
      <c r="L28" s="451"/>
      <c r="M28" s="451"/>
      <c r="N28" s="451"/>
    </row>
    <row r="29" spans="2:14" ht="15" customHeight="1"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</row>
    <row r="30" spans="2:14" ht="15" customHeight="1">
      <c r="B30" s="450" t="s">
        <v>191</v>
      </c>
      <c r="C30" s="450"/>
      <c r="D30" s="450"/>
      <c r="E30" s="201"/>
      <c r="F30" s="201" t="s">
        <v>192</v>
      </c>
      <c r="G30" s="201"/>
      <c r="H30" s="201"/>
      <c r="I30" s="201"/>
      <c r="J30" s="201"/>
      <c r="K30" s="201"/>
      <c r="L30" s="201"/>
      <c r="M30" s="201"/>
      <c r="N30" s="201"/>
    </row>
    <row r="31" spans="2:14" ht="15" customHeight="1">
      <c r="B31" s="450"/>
      <c r="C31" s="450"/>
      <c r="D31" s="450"/>
      <c r="E31" s="201"/>
      <c r="F31" s="201"/>
      <c r="G31" s="201"/>
      <c r="H31" s="201"/>
      <c r="I31" s="201"/>
      <c r="J31" s="201"/>
      <c r="K31" s="201"/>
      <c r="L31" s="201"/>
      <c r="M31" s="201"/>
      <c r="N31" s="201"/>
    </row>
    <row r="32" spans="2:14" ht="15" customHeight="1"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</row>
    <row r="33" spans="2:14" ht="15" customHeight="1">
      <c r="B33" s="308" t="s">
        <v>208</v>
      </c>
      <c r="C33" s="201"/>
      <c r="D33" s="201"/>
      <c r="E33" s="201"/>
      <c r="F33" s="201" t="s">
        <v>209</v>
      </c>
      <c r="G33" s="201"/>
      <c r="H33" s="201"/>
      <c r="I33" s="201"/>
      <c r="J33" s="201"/>
      <c r="K33" s="201"/>
      <c r="L33" s="201"/>
      <c r="M33" s="201"/>
      <c r="N33" s="201"/>
    </row>
    <row r="34" spans="2:14" ht="15" customHeight="1"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</row>
    <row r="35" spans="1:14" ht="15" customHeight="1">
      <c r="A35" s="61"/>
      <c r="B35" s="227" t="s">
        <v>193</v>
      </c>
      <c r="C35" s="201"/>
      <c r="D35" s="201"/>
      <c r="E35" s="201"/>
      <c r="F35" s="201" t="s">
        <v>195</v>
      </c>
      <c r="G35" s="201"/>
      <c r="H35" s="201"/>
      <c r="I35" s="201"/>
      <c r="J35" s="201"/>
      <c r="K35" s="201"/>
      <c r="L35" s="201"/>
      <c r="M35" s="201"/>
      <c r="N35" s="201"/>
    </row>
    <row r="36" spans="2:14" ht="15" customHeight="1"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</row>
    <row r="37" spans="2:14" ht="15" customHeight="1">
      <c r="B37" s="452" t="s">
        <v>194</v>
      </c>
      <c r="C37" s="452"/>
      <c r="D37" s="452"/>
      <c r="E37" s="201"/>
      <c r="F37" s="451" t="s">
        <v>232</v>
      </c>
      <c r="G37" s="451"/>
      <c r="H37" s="451"/>
      <c r="I37" s="451"/>
      <c r="J37" s="451"/>
      <c r="K37" s="451"/>
      <c r="L37" s="451"/>
      <c r="M37" s="451"/>
      <c r="N37" s="451"/>
    </row>
    <row r="38" spans="2:14" ht="15" customHeight="1">
      <c r="B38" s="452"/>
      <c r="C38" s="452"/>
      <c r="D38" s="452"/>
      <c r="E38" s="201"/>
      <c r="F38" s="451"/>
      <c r="G38" s="451"/>
      <c r="H38" s="451"/>
      <c r="I38" s="451"/>
      <c r="J38" s="451"/>
      <c r="K38" s="451"/>
      <c r="L38" s="451"/>
      <c r="M38" s="451"/>
      <c r="N38" s="451"/>
    </row>
    <row r="39" spans="2:3" ht="9.75" customHeight="1">
      <c r="B39" s="321"/>
      <c r="C39" s="321"/>
    </row>
    <row r="40" spans="2:3" ht="32.25" customHeight="1">
      <c r="B40" s="321" t="s">
        <v>243</v>
      </c>
      <c r="C40" s="321"/>
    </row>
    <row r="41" ht="15" customHeight="1"/>
    <row r="42" ht="27" customHeight="1"/>
    <row r="43" spans="2:14" ht="27" customHeight="1">
      <c r="B43" s="472"/>
      <c r="C43" s="472"/>
      <c r="D43" s="472"/>
      <c r="E43" s="472"/>
      <c r="F43" s="320" t="s">
        <v>197</v>
      </c>
      <c r="G43" s="472"/>
      <c r="H43" s="472"/>
      <c r="I43" s="472"/>
      <c r="J43" s="472"/>
      <c r="K43" s="473" t="s">
        <v>198</v>
      </c>
      <c r="L43" s="474"/>
      <c r="M43" s="474"/>
      <c r="N43" s="475"/>
    </row>
    <row r="44" spans="2:14" ht="46.5" customHeight="1">
      <c r="B44" s="454" t="s">
        <v>196</v>
      </c>
      <c r="C44" s="455"/>
      <c r="D44" s="455"/>
      <c r="E44" s="456"/>
      <c r="F44" s="328"/>
      <c r="G44" s="466" t="s">
        <v>214</v>
      </c>
      <c r="H44" s="467"/>
      <c r="I44" s="467"/>
      <c r="J44" s="468"/>
      <c r="K44" s="469"/>
      <c r="L44" s="470"/>
      <c r="M44" s="470"/>
      <c r="N44" s="471"/>
    </row>
    <row r="45" spans="2:14" ht="42" customHeight="1">
      <c r="B45" s="454" t="str">
        <f>B13</f>
        <v>Husstandsmøllen produktion:</v>
      </c>
      <c r="C45" s="455"/>
      <c r="D45" s="455"/>
      <c r="E45" s="456"/>
      <c r="F45" s="328"/>
      <c r="G45" s="466" t="s">
        <v>215</v>
      </c>
      <c r="H45" s="467"/>
      <c r="I45" s="467"/>
      <c r="J45" s="468"/>
      <c r="K45" s="469"/>
      <c r="L45" s="470"/>
      <c r="M45" s="470"/>
      <c r="N45" s="471"/>
    </row>
    <row r="46" spans="2:14" ht="63" customHeight="1">
      <c r="B46" s="454" t="str">
        <f>B15</f>
        <v>Priser på indkøbt el:</v>
      </c>
      <c r="C46" s="455"/>
      <c r="D46" s="455"/>
      <c r="E46" s="456"/>
      <c r="F46" s="328"/>
      <c r="G46" s="466" t="s">
        <v>233</v>
      </c>
      <c r="H46" s="467"/>
      <c r="I46" s="467"/>
      <c r="J46" s="468"/>
      <c r="K46" s="469"/>
      <c r="L46" s="470"/>
      <c r="M46" s="470"/>
      <c r="N46" s="471"/>
    </row>
    <row r="47" spans="2:14" ht="44.25" customHeight="1">
      <c r="B47" s="454" t="str">
        <f>B17</f>
        <v>Investeringen:</v>
      </c>
      <c r="C47" s="455"/>
      <c r="D47" s="455"/>
      <c r="E47" s="456"/>
      <c r="F47" s="328"/>
      <c r="G47" s="466" t="s">
        <v>200</v>
      </c>
      <c r="H47" s="467"/>
      <c r="I47" s="467"/>
      <c r="J47" s="468"/>
      <c r="K47" s="469"/>
      <c r="L47" s="470"/>
      <c r="M47" s="470"/>
      <c r="N47" s="471"/>
    </row>
    <row r="48" spans="2:14" ht="21.75" customHeight="1">
      <c r="B48" s="457" t="str">
        <f>B19</f>
        <v>Fremmed finansieringen:</v>
      </c>
      <c r="C48" s="457"/>
      <c r="D48" s="457"/>
      <c r="E48" s="457"/>
      <c r="F48" s="328"/>
      <c r="G48" s="458" t="s">
        <v>204</v>
      </c>
      <c r="H48" s="459"/>
      <c r="I48" s="459"/>
      <c r="J48" s="460"/>
      <c r="K48" s="469"/>
      <c r="L48" s="470"/>
      <c r="M48" s="470"/>
      <c r="N48" s="471"/>
    </row>
    <row r="49" spans="2:14" ht="15.75" customHeight="1">
      <c r="B49" s="457" t="str">
        <f>B23</f>
        <v>Rente:</v>
      </c>
      <c r="C49" s="457"/>
      <c r="D49" s="457"/>
      <c r="E49" s="457"/>
      <c r="F49" s="328"/>
      <c r="G49" s="458" t="s">
        <v>234</v>
      </c>
      <c r="H49" s="459"/>
      <c r="I49" s="459"/>
      <c r="J49" s="460"/>
      <c r="K49" s="469"/>
      <c r="L49" s="470"/>
      <c r="M49" s="470"/>
      <c r="N49" s="471"/>
    </row>
    <row r="50" spans="2:14" ht="15">
      <c r="B50" s="457" t="str">
        <f>B25</f>
        <v>Levetid:</v>
      </c>
      <c r="C50" s="457"/>
      <c r="D50" s="457"/>
      <c r="E50" s="457"/>
      <c r="F50" s="328"/>
      <c r="G50" s="458" t="s">
        <v>216</v>
      </c>
      <c r="H50" s="459"/>
      <c r="I50" s="459"/>
      <c r="J50" s="460"/>
      <c r="K50" s="469"/>
      <c r="L50" s="470"/>
      <c r="M50" s="470"/>
      <c r="N50" s="471"/>
    </row>
    <row r="51" spans="2:14" ht="15">
      <c r="B51" s="457" t="s">
        <v>205</v>
      </c>
      <c r="C51" s="457"/>
      <c r="D51" s="457"/>
      <c r="E51" s="457"/>
      <c r="F51" s="328"/>
      <c r="G51" s="325" t="s">
        <v>207</v>
      </c>
      <c r="H51" s="326"/>
      <c r="I51" s="326"/>
      <c r="J51" s="327"/>
      <c r="K51" s="469"/>
      <c r="L51" s="470"/>
      <c r="M51" s="470"/>
      <c r="N51" s="471"/>
    </row>
    <row r="52" spans="2:14" ht="19.5" customHeight="1">
      <c r="B52" s="461" t="s">
        <v>112</v>
      </c>
      <c r="C52" s="462"/>
      <c r="D52" s="462"/>
      <c r="E52" s="463"/>
      <c r="F52" s="328"/>
      <c r="G52" s="458" t="s">
        <v>212</v>
      </c>
      <c r="H52" s="459"/>
      <c r="I52" s="459"/>
      <c r="J52" s="460"/>
      <c r="K52" s="469"/>
      <c r="L52" s="470"/>
      <c r="M52" s="470"/>
      <c r="N52" s="471"/>
    </row>
    <row r="53" spans="2:14" ht="15">
      <c r="B53" s="454" t="str">
        <f>B33</f>
        <v>Skatteafskrivnings % på møllen</v>
      </c>
      <c r="C53" s="455"/>
      <c r="D53" s="455"/>
      <c r="E53" s="456"/>
      <c r="F53" s="328"/>
      <c r="G53" s="325" t="s">
        <v>210</v>
      </c>
      <c r="H53" s="326"/>
      <c r="I53" s="326"/>
      <c r="J53" s="327"/>
      <c r="K53" s="469"/>
      <c r="L53" s="470"/>
      <c r="M53" s="470"/>
      <c r="N53" s="471"/>
    </row>
    <row r="54" spans="2:14" ht="15">
      <c r="B54" s="457" t="s">
        <v>193</v>
      </c>
      <c r="C54" s="457"/>
      <c r="D54" s="457"/>
      <c r="E54" s="457"/>
      <c r="F54" s="328"/>
      <c r="G54" s="458" t="s">
        <v>235</v>
      </c>
      <c r="H54" s="459"/>
      <c r="I54" s="459"/>
      <c r="J54" s="460"/>
      <c r="K54" s="469"/>
      <c r="L54" s="470"/>
      <c r="M54" s="470"/>
      <c r="N54" s="471"/>
    </row>
    <row r="55" spans="2:14" ht="15">
      <c r="B55" s="457" t="str">
        <f>B37</f>
        <v>Ændring i driftsomkostninger /  år</v>
      </c>
      <c r="C55" s="457"/>
      <c r="D55" s="457"/>
      <c r="E55" s="457"/>
      <c r="F55" s="328"/>
      <c r="G55" s="458" t="s">
        <v>236</v>
      </c>
      <c r="H55" s="459"/>
      <c r="I55" s="459"/>
      <c r="J55" s="460"/>
      <c r="K55" s="469"/>
      <c r="L55" s="470"/>
      <c r="M55" s="470"/>
      <c r="N55" s="471"/>
    </row>
    <row r="56" spans="2:14" ht="42.75" customHeight="1">
      <c r="B56" s="461" t="s">
        <v>206</v>
      </c>
      <c r="C56" s="462"/>
      <c r="D56" s="462"/>
      <c r="E56" s="463"/>
      <c r="F56" s="328"/>
      <c r="G56" s="466" t="s">
        <v>211</v>
      </c>
      <c r="H56" s="467"/>
      <c r="I56" s="467"/>
      <c r="J56" s="468"/>
      <c r="K56" s="469"/>
      <c r="L56" s="470"/>
      <c r="M56" s="470"/>
      <c r="N56" s="471"/>
    </row>
    <row r="57" spans="2:5" ht="14.25">
      <c r="B57" s="464"/>
      <c r="C57" s="464"/>
      <c r="D57" s="464"/>
      <c r="E57" s="464"/>
    </row>
    <row r="59" spans="2:9" ht="14.25">
      <c r="B59" s="53" t="s">
        <v>218</v>
      </c>
      <c r="C59" s="465" t="s">
        <v>219</v>
      </c>
      <c r="D59" s="465"/>
      <c r="E59" s="465"/>
      <c r="G59" s="53" t="s">
        <v>220</v>
      </c>
      <c r="H59" s="465" t="s">
        <v>221</v>
      </c>
      <c r="I59" s="465"/>
    </row>
  </sheetData>
  <sheetProtection password="C656" sheet="1"/>
  <mergeCells count="52">
    <mergeCell ref="K55:N55"/>
    <mergeCell ref="B43:E43"/>
    <mergeCell ref="K56:N56"/>
    <mergeCell ref="B54:E54"/>
    <mergeCell ref="B51:E51"/>
    <mergeCell ref="B52:E52"/>
    <mergeCell ref="B53:E53"/>
    <mergeCell ref="K43:N43"/>
    <mergeCell ref="K44:N44"/>
    <mergeCell ref="K45:N45"/>
    <mergeCell ref="K51:N51"/>
    <mergeCell ref="K52:N52"/>
    <mergeCell ref="G49:J49"/>
    <mergeCell ref="G50:J50"/>
    <mergeCell ref="K48:N48"/>
    <mergeCell ref="K49:N49"/>
    <mergeCell ref="K50:N50"/>
    <mergeCell ref="G52:J52"/>
    <mergeCell ref="K46:N46"/>
    <mergeCell ref="K47:N47"/>
    <mergeCell ref="K53:N53"/>
    <mergeCell ref="K54:N54"/>
    <mergeCell ref="G43:J43"/>
    <mergeCell ref="G44:J44"/>
    <mergeCell ref="G45:J45"/>
    <mergeCell ref="G46:J46"/>
    <mergeCell ref="G47:J47"/>
    <mergeCell ref="G48:J48"/>
    <mergeCell ref="G54:J54"/>
    <mergeCell ref="B50:E50"/>
    <mergeCell ref="B55:E55"/>
    <mergeCell ref="B56:E56"/>
    <mergeCell ref="B57:E57"/>
    <mergeCell ref="C59:E59"/>
    <mergeCell ref="H59:I59"/>
    <mergeCell ref="G55:J55"/>
    <mergeCell ref="G56:J56"/>
    <mergeCell ref="B44:E44"/>
    <mergeCell ref="B45:E45"/>
    <mergeCell ref="B46:E46"/>
    <mergeCell ref="B47:E47"/>
    <mergeCell ref="B48:E48"/>
    <mergeCell ref="B49:E49"/>
    <mergeCell ref="B30:D31"/>
    <mergeCell ref="F37:N38"/>
    <mergeCell ref="B37:D38"/>
    <mergeCell ref="B3:N3"/>
    <mergeCell ref="F15:N16"/>
    <mergeCell ref="B8:N9"/>
    <mergeCell ref="F17:N17"/>
    <mergeCell ref="F27:N28"/>
    <mergeCell ref="F25:N25"/>
  </mergeCells>
  <printOptions/>
  <pageMargins left="0.7086614173228347" right="0.7086614173228347" top="0.29" bottom="0.47" header="0.17" footer="0.17"/>
  <pageSetup horizontalDpi="600" verticalDpi="600" orientation="landscape" paperSize="9" scale="83" r:id="rId2"/>
  <rowBreaks count="1" manualBreakCount="1">
    <brk id="3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S71"/>
  <sheetViews>
    <sheetView workbookViewId="0" topLeftCell="A3">
      <pane ySplit="2" topLeftCell="A23" activePane="bottomLeft" state="frozen"/>
      <selection pane="topLeft" activeCell="E54" sqref="E54"/>
      <selection pane="bottomLeft" activeCell="A1" sqref="A1"/>
    </sheetView>
  </sheetViews>
  <sheetFormatPr defaultColWidth="9.140625" defaultRowHeight="15"/>
  <cols>
    <col min="1" max="1" width="21.8515625" style="0" customWidth="1"/>
    <col min="3" max="3" width="11.00390625" style="0" bestFit="1" customWidth="1"/>
    <col min="4" max="4" width="10.00390625" style="0" bestFit="1" customWidth="1"/>
    <col min="12" max="12" width="10.00390625" style="0" customWidth="1"/>
  </cols>
  <sheetData>
    <row r="2" spans="1:8" ht="15.75" thickBot="1">
      <c r="A2" s="2" t="s">
        <v>37</v>
      </c>
      <c r="D2" s="17">
        <f>'Forudsætninger og 15 års budget'!C43</f>
        <v>0.25</v>
      </c>
      <c r="F2" t="s">
        <v>63</v>
      </c>
      <c r="H2" s="25">
        <f>'Forudsætninger og 15 års budget'!C38</f>
        <v>0.25</v>
      </c>
    </row>
    <row r="3" spans="1:18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5.75" thickBot="1">
      <c r="A4" s="41"/>
      <c r="B4" s="42"/>
      <c r="C4" s="42"/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3">
        <v>15</v>
      </c>
    </row>
    <row r="5" spans="1:19" ht="30">
      <c r="A5" s="205" t="s">
        <v>131</v>
      </c>
      <c r="B5" s="5">
        <f>'Forudsætninger og 15 års budget'!C32</f>
        <v>300000</v>
      </c>
      <c r="C5" s="3"/>
      <c r="D5" s="5">
        <f>B5-D7</f>
        <v>225000</v>
      </c>
      <c r="E5" s="5">
        <f>D5-E7</f>
        <v>168750</v>
      </c>
      <c r="F5" s="5">
        <f aca="true" t="shared" si="0" ref="F5:R5">E5-F7</f>
        <v>126562.5</v>
      </c>
      <c r="G5" s="5">
        <f t="shared" si="0"/>
        <v>94921.875</v>
      </c>
      <c r="H5" s="5">
        <f t="shared" si="0"/>
        <v>71191.40625</v>
      </c>
      <c r="I5" s="5">
        <f t="shared" si="0"/>
        <v>53393.5546875</v>
      </c>
      <c r="J5" s="5">
        <f t="shared" si="0"/>
        <v>40045.166015625</v>
      </c>
      <c r="K5" s="5">
        <f t="shared" si="0"/>
        <v>30033.87451171875</v>
      </c>
      <c r="L5" s="5">
        <f t="shared" si="0"/>
        <v>22525.405883789062</v>
      </c>
      <c r="M5" s="5">
        <f t="shared" si="0"/>
        <v>16894.054412841797</v>
      </c>
      <c r="N5" s="5">
        <f t="shared" si="0"/>
        <v>12670.540809631348</v>
      </c>
      <c r="O5" s="5">
        <f t="shared" si="0"/>
        <v>9502.90560722351</v>
      </c>
      <c r="P5" s="5">
        <f t="shared" si="0"/>
        <v>7127.179205417633</v>
      </c>
      <c r="Q5" s="5">
        <f t="shared" si="0"/>
        <v>5345.384404063225</v>
      </c>
      <c r="R5" s="5">
        <f t="shared" si="0"/>
        <v>4009.0383030474186</v>
      </c>
      <c r="S5" s="11">
        <f>R5-R7</f>
        <v>2672.6922020316124</v>
      </c>
    </row>
    <row r="6" spans="1:18" ht="15">
      <c r="A6" s="10"/>
      <c r="B6" s="3"/>
      <c r="C6" s="3"/>
      <c r="D6" s="5"/>
      <c r="E6" s="5"/>
      <c r="F6" s="5"/>
      <c r="G6" s="5"/>
      <c r="H6" s="5"/>
      <c r="I6" s="12"/>
      <c r="J6" s="5"/>
      <c r="K6" s="5"/>
      <c r="L6" s="5"/>
      <c r="M6" s="5"/>
      <c r="N6" s="5"/>
      <c r="O6" s="5"/>
      <c r="P6" s="5"/>
      <c r="Q6" s="5"/>
      <c r="R6" s="11"/>
    </row>
    <row r="7" spans="1:18" ht="15">
      <c r="A7" s="10" t="s">
        <v>39</v>
      </c>
      <c r="B7" s="3"/>
      <c r="C7" s="3"/>
      <c r="D7" s="5">
        <f>B5*$D$2</f>
        <v>75000</v>
      </c>
      <c r="E7" s="5">
        <f>D5*$D$2</f>
        <v>56250</v>
      </c>
      <c r="F7" s="5">
        <f aca="true" t="shared" si="1" ref="F7:R7">E5*$D$2</f>
        <v>42187.5</v>
      </c>
      <c r="G7" s="5">
        <f t="shared" si="1"/>
        <v>31640.625</v>
      </c>
      <c r="H7" s="5">
        <f t="shared" si="1"/>
        <v>23730.46875</v>
      </c>
      <c r="I7" s="5">
        <f t="shared" si="1"/>
        <v>17797.8515625</v>
      </c>
      <c r="J7" s="5">
        <f t="shared" si="1"/>
        <v>13348.388671875</v>
      </c>
      <c r="K7" s="5">
        <f t="shared" si="1"/>
        <v>10011.29150390625</v>
      </c>
      <c r="L7" s="5">
        <f t="shared" si="1"/>
        <v>7508.4686279296875</v>
      </c>
      <c r="M7" s="5">
        <f t="shared" si="1"/>
        <v>5631.351470947266</v>
      </c>
      <c r="N7" s="5">
        <f t="shared" si="1"/>
        <v>4223.513603210449</v>
      </c>
      <c r="O7" s="5">
        <f t="shared" si="1"/>
        <v>3167.635202407837</v>
      </c>
      <c r="P7" s="5">
        <f t="shared" si="1"/>
        <v>2375.7264018058777</v>
      </c>
      <c r="Q7" s="5">
        <f t="shared" si="1"/>
        <v>1781.7948013544083</v>
      </c>
      <c r="R7" s="11">
        <f t="shared" si="1"/>
        <v>1336.3461010158062</v>
      </c>
    </row>
    <row r="8" spans="1:18" ht="15.75" thickBot="1">
      <c r="A8" s="13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6"/>
    </row>
    <row r="9" spans="4:18" ht="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thickBot="1">
      <c r="A10" s="2" t="s">
        <v>44</v>
      </c>
      <c r="D10" s="6">
        <v>15</v>
      </c>
      <c r="E10" s="6" t="s">
        <v>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>
      <c r="A11" s="7"/>
      <c r="B11" s="8"/>
      <c r="C11" s="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8" ht="15">
      <c r="A12" s="10" t="s">
        <v>237</v>
      </c>
      <c r="B12" s="5">
        <f>B5</f>
        <v>300000</v>
      </c>
      <c r="C12" s="3"/>
      <c r="D12" s="5">
        <f>B12-D14</f>
        <v>280000</v>
      </c>
      <c r="E12" s="5">
        <f>D12-D14</f>
        <v>260000</v>
      </c>
      <c r="F12" s="5">
        <f aca="true" t="shared" si="2" ref="F12:R12">E12-E14</f>
        <v>240000</v>
      </c>
      <c r="G12" s="5">
        <f t="shared" si="2"/>
        <v>220000</v>
      </c>
      <c r="H12" s="5">
        <f t="shared" si="2"/>
        <v>200000</v>
      </c>
      <c r="I12" s="5">
        <f t="shared" si="2"/>
        <v>180000</v>
      </c>
      <c r="J12" s="5">
        <f t="shared" si="2"/>
        <v>160000</v>
      </c>
      <c r="K12" s="5">
        <f t="shared" si="2"/>
        <v>140000</v>
      </c>
      <c r="L12" s="5">
        <f t="shared" si="2"/>
        <v>120000</v>
      </c>
      <c r="M12" s="5">
        <f t="shared" si="2"/>
        <v>100000</v>
      </c>
      <c r="N12" s="5">
        <f t="shared" si="2"/>
        <v>80000</v>
      </c>
      <c r="O12" s="5">
        <f t="shared" si="2"/>
        <v>60000</v>
      </c>
      <c r="P12" s="5">
        <f t="shared" si="2"/>
        <v>40000</v>
      </c>
      <c r="Q12" s="5">
        <f t="shared" si="2"/>
        <v>20000</v>
      </c>
      <c r="R12" s="11">
        <f t="shared" si="2"/>
        <v>0</v>
      </c>
    </row>
    <row r="13" spans="1:18" ht="15">
      <c r="A13" s="10"/>
      <c r="B13" s="3"/>
      <c r="C13" s="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1"/>
    </row>
    <row r="14" spans="1:18" ht="15.75" thickBot="1">
      <c r="A14" s="13" t="s">
        <v>39</v>
      </c>
      <c r="B14" s="14"/>
      <c r="C14" s="14"/>
      <c r="D14" s="15">
        <f>B12/D10</f>
        <v>20000</v>
      </c>
      <c r="E14" s="15">
        <f>D14</f>
        <v>20000</v>
      </c>
      <c r="F14" s="15">
        <f aca="true" t="shared" si="3" ref="F14:R14">E14</f>
        <v>20000</v>
      </c>
      <c r="G14" s="15">
        <f t="shared" si="3"/>
        <v>20000</v>
      </c>
      <c r="H14" s="15">
        <f t="shared" si="3"/>
        <v>20000</v>
      </c>
      <c r="I14" s="15">
        <f t="shared" si="3"/>
        <v>20000</v>
      </c>
      <c r="J14" s="15">
        <f t="shared" si="3"/>
        <v>20000</v>
      </c>
      <c r="K14" s="15">
        <f t="shared" si="3"/>
        <v>20000</v>
      </c>
      <c r="L14" s="15">
        <f t="shared" si="3"/>
        <v>20000</v>
      </c>
      <c r="M14" s="15">
        <f t="shared" si="3"/>
        <v>20000</v>
      </c>
      <c r="N14" s="15">
        <f t="shared" si="3"/>
        <v>20000</v>
      </c>
      <c r="O14" s="15">
        <f t="shared" si="3"/>
        <v>20000</v>
      </c>
      <c r="P14" s="15">
        <f t="shared" si="3"/>
        <v>20000</v>
      </c>
      <c r="Q14" s="15">
        <f t="shared" si="3"/>
        <v>20000</v>
      </c>
      <c r="R14" s="16">
        <f t="shared" si="3"/>
        <v>20000</v>
      </c>
    </row>
    <row r="15" spans="4:18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7" spans="1:18" ht="15">
      <c r="A17" t="s">
        <v>40</v>
      </c>
      <c r="D17" s="1">
        <f>D12-D5</f>
        <v>55000</v>
      </c>
      <c r="E17" s="1">
        <f aca="true" t="shared" si="4" ref="E17:R17">E12-E5</f>
        <v>91250</v>
      </c>
      <c r="F17" s="1">
        <f t="shared" si="4"/>
        <v>113437.5</v>
      </c>
      <c r="G17" s="1">
        <f t="shared" si="4"/>
        <v>125078.125</v>
      </c>
      <c r="H17" s="1">
        <f t="shared" si="4"/>
        <v>128808.59375</v>
      </c>
      <c r="I17" s="1">
        <f t="shared" si="4"/>
        <v>126606.4453125</v>
      </c>
      <c r="J17" s="1">
        <f t="shared" si="4"/>
        <v>119954.833984375</v>
      </c>
      <c r="K17" s="1">
        <f t="shared" si="4"/>
        <v>109966.12548828125</v>
      </c>
      <c r="L17" s="1">
        <f t="shared" si="4"/>
        <v>97474.59411621094</v>
      </c>
      <c r="M17" s="1">
        <f t="shared" si="4"/>
        <v>83105.9455871582</v>
      </c>
      <c r="N17" s="1">
        <f t="shared" si="4"/>
        <v>67329.45919036865</v>
      </c>
      <c r="O17" s="1">
        <f t="shared" si="4"/>
        <v>50497.09439277649</v>
      </c>
      <c r="P17" s="1">
        <f t="shared" si="4"/>
        <v>32872.82079458237</v>
      </c>
      <c r="Q17" s="1">
        <f t="shared" si="4"/>
        <v>14654.615595936775</v>
      </c>
      <c r="R17" s="1">
        <f t="shared" si="4"/>
        <v>-4009.0383030474186</v>
      </c>
    </row>
    <row r="18" ht="15.75" thickBot="1"/>
    <row r="19" spans="1:18" ht="15.75" thickBot="1">
      <c r="A19" s="20" t="s">
        <v>45</v>
      </c>
      <c r="B19" s="21">
        <f>'Forudsætninger og 15 års budget'!C38</f>
        <v>0.25</v>
      </c>
      <c r="C19" s="22"/>
      <c r="D19" s="23">
        <f>D17*$B$19</f>
        <v>13750</v>
      </c>
      <c r="E19" s="23">
        <f aca="true" t="shared" si="5" ref="E19:R19">E17*$B$19</f>
        <v>22812.5</v>
      </c>
      <c r="F19" s="23">
        <f t="shared" si="5"/>
        <v>28359.375</v>
      </c>
      <c r="G19" s="23">
        <f t="shared" si="5"/>
        <v>31269.53125</v>
      </c>
      <c r="H19" s="23">
        <f t="shared" si="5"/>
        <v>32202.1484375</v>
      </c>
      <c r="I19" s="23">
        <f t="shared" si="5"/>
        <v>31651.611328125</v>
      </c>
      <c r="J19" s="23">
        <f t="shared" si="5"/>
        <v>29988.70849609375</v>
      </c>
      <c r="K19" s="23">
        <f t="shared" si="5"/>
        <v>27491.531372070312</v>
      </c>
      <c r="L19" s="23">
        <f t="shared" si="5"/>
        <v>24368.648529052734</v>
      </c>
      <c r="M19" s="23">
        <f t="shared" si="5"/>
        <v>20776.48639678955</v>
      </c>
      <c r="N19" s="23">
        <f t="shared" si="5"/>
        <v>16832.364797592163</v>
      </c>
      <c r="O19" s="23">
        <f t="shared" si="5"/>
        <v>12624.273598194122</v>
      </c>
      <c r="P19" s="23">
        <f t="shared" si="5"/>
        <v>8218.205198645592</v>
      </c>
      <c r="Q19" s="23">
        <f t="shared" si="5"/>
        <v>3663.653898984194</v>
      </c>
      <c r="R19" s="24">
        <f t="shared" si="5"/>
        <v>-1002.2595757618546</v>
      </c>
    </row>
    <row r="22" ht="15">
      <c r="A22" s="2" t="s">
        <v>88</v>
      </c>
    </row>
    <row r="23" spans="1:18" ht="15">
      <c r="A23" s="28" t="s">
        <v>60</v>
      </c>
      <c r="B23" s="29"/>
      <c r="C23" s="29">
        <f>'Forudsætninger og 15 års budget'!F34</f>
        <v>10</v>
      </c>
      <c r="D23" s="29">
        <f>C23</f>
        <v>10</v>
      </c>
      <c r="E23" s="29">
        <f aca="true" t="shared" si="6" ref="E23:R23">D23</f>
        <v>10</v>
      </c>
      <c r="F23" s="29">
        <f t="shared" si="6"/>
        <v>10</v>
      </c>
      <c r="G23" s="29">
        <f t="shared" si="6"/>
        <v>10</v>
      </c>
      <c r="H23" s="29">
        <f t="shared" si="6"/>
        <v>10</v>
      </c>
      <c r="I23" s="29">
        <f t="shared" si="6"/>
        <v>10</v>
      </c>
      <c r="J23" s="29">
        <f t="shared" si="6"/>
        <v>10</v>
      </c>
      <c r="K23" s="29">
        <f t="shared" si="6"/>
        <v>10</v>
      </c>
      <c r="L23" s="29">
        <f t="shared" si="6"/>
        <v>10</v>
      </c>
      <c r="M23" s="29">
        <f t="shared" si="6"/>
        <v>10</v>
      </c>
      <c r="N23" s="29">
        <f t="shared" si="6"/>
        <v>10</v>
      </c>
      <c r="O23" s="29">
        <f t="shared" si="6"/>
        <v>10</v>
      </c>
      <c r="P23" s="29">
        <f t="shared" si="6"/>
        <v>10</v>
      </c>
      <c r="Q23" s="29">
        <f t="shared" si="6"/>
        <v>10</v>
      </c>
      <c r="R23" s="30">
        <f t="shared" si="6"/>
        <v>10</v>
      </c>
    </row>
    <row r="24" spans="1:18" ht="15">
      <c r="A24" s="31" t="s">
        <v>49</v>
      </c>
      <c r="B24" s="3" t="s">
        <v>56</v>
      </c>
      <c r="C24" s="32">
        <f>'Forudsætninger og 15 års budget'!C35</f>
        <v>0.04</v>
      </c>
      <c r="D24" s="32">
        <f>C24</f>
        <v>0.04</v>
      </c>
      <c r="E24" s="32">
        <f aca="true" t="shared" si="7" ref="E24:R24">D24</f>
        <v>0.04</v>
      </c>
      <c r="F24" s="32">
        <f t="shared" si="7"/>
        <v>0.04</v>
      </c>
      <c r="G24" s="32">
        <f t="shared" si="7"/>
        <v>0.04</v>
      </c>
      <c r="H24" s="32">
        <f t="shared" si="7"/>
        <v>0.04</v>
      </c>
      <c r="I24" s="32">
        <f t="shared" si="7"/>
        <v>0.04</v>
      </c>
      <c r="J24" s="32">
        <f t="shared" si="7"/>
        <v>0.04</v>
      </c>
      <c r="K24" s="32">
        <f t="shared" si="7"/>
        <v>0.04</v>
      </c>
      <c r="L24" s="32">
        <f t="shared" si="7"/>
        <v>0.04</v>
      </c>
      <c r="M24" s="32">
        <f t="shared" si="7"/>
        <v>0.04</v>
      </c>
      <c r="N24" s="32">
        <f t="shared" si="7"/>
        <v>0.04</v>
      </c>
      <c r="O24" s="32">
        <f t="shared" si="7"/>
        <v>0.04</v>
      </c>
      <c r="P24" s="32">
        <f t="shared" si="7"/>
        <v>0.04</v>
      </c>
      <c r="Q24" s="32">
        <f t="shared" si="7"/>
        <v>0.04</v>
      </c>
      <c r="R24" s="33">
        <f t="shared" si="7"/>
        <v>0.04</v>
      </c>
    </row>
    <row r="25" spans="1:18" ht="15">
      <c r="A25" s="31" t="s">
        <v>55</v>
      </c>
      <c r="B25" s="5">
        <f>'Forudsætninger og 15 års budget'!C32*'Forudsætninger og 15 års budget'!C34</f>
        <v>300000</v>
      </c>
      <c r="C25" s="34">
        <f>B25</f>
        <v>300000</v>
      </c>
      <c r="D25" s="5">
        <f>C25-D26</f>
        <v>270000</v>
      </c>
      <c r="E25" s="5">
        <f aca="true" t="shared" si="8" ref="E25:R25">D25-E26</f>
        <v>240000</v>
      </c>
      <c r="F25" s="5">
        <f t="shared" si="8"/>
        <v>210000</v>
      </c>
      <c r="G25" s="5">
        <f t="shared" si="8"/>
        <v>180000</v>
      </c>
      <c r="H25" s="5">
        <f t="shared" si="8"/>
        <v>150000</v>
      </c>
      <c r="I25" s="5">
        <f t="shared" si="8"/>
        <v>120000</v>
      </c>
      <c r="J25" s="5">
        <f t="shared" si="8"/>
        <v>90000</v>
      </c>
      <c r="K25" s="5">
        <f t="shared" si="8"/>
        <v>60000</v>
      </c>
      <c r="L25" s="5">
        <f t="shared" si="8"/>
        <v>30000</v>
      </c>
      <c r="M25" s="5">
        <f t="shared" si="8"/>
        <v>0</v>
      </c>
      <c r="N25" s="5">
        <f t="shared" si="8"/>
        <v>0</v>
      </c>
      <c r="O25" s="5">
        <f t="shared" si="8"/>
        <v>0</v>
      </c>
      <c r="P25" s="5">
        <f t="shared" si="8"/>
        <v>0</v>
      </c>
      <c r="Q25" s="5">
        <f t="shared" si="8"/>
        <v>0</v>
      </c>
      <c r="R25" s="35">
        <f t="shared" si="8"/>
        <v>0</v>
      </c>
    </row>
    <row r="26" spans="1:18" ht="15">
      <c r="A26" s="36" t="s">
        <v>54</v>
      </c>
      <c r="B26" s="49">
        <f>C25/C23</f>
        <v>30000</v>
      </c>
      <c r="C26" s="38">
        <v>0</v>
      </c>
      <c r="D26" s="38">
        <f>IF(C25&gt;0,$C$25/D23,0)</f>
        <v>30000</v>
      </c>
      <c r="E26" s="38">
        <f aca="true" t="shared" si="9" ref="E26:R26">IF(D25&gt;0,$C$25/E23,0)</f>
        <v>30000</v>
      </c>
      <c r="F26" s="38">
        <f t="shared" si="9"/>
        <v>30000</v>
      </c>
      <c r="G26" s="38">
        <f t="shared" si="9"/>
        <v>30000</v>
      </c>
      <c r="H26" s="38">
        <f t="shared" si="9"/>
        <v>30000</v>
      </c>
      <c r="I26" s="38">
        <f t="shared" si="9"/>
        <v>30000</v>
      </c>
      <c r="J26" s="38">
        <f t="shared" si="9"/>
        <v>30000</v>
      </c>
      <c r="K26" s="38">
        <f t="shared" si="9"/>
        <v>30000</v>
      </c>
      <c r="L26" s="38">
        <f t="shared" si="9"/>
        <v>30000</v>
      </c>
      <c r="M26" s="38">
        <f t="shared" si="9"/>
        <v>30000</v>
      </c>
      <c r="N26" s="38">
        <f t="shared" si="9"/>
        <v>0</v>
      </c>
      <c r="O26" s="38">
        <f t="shared" si="9"/>
        <v>0</v>
      </c>
      <c r="P26" s="38">
        <f t="shared" si="9"/>
        <v>0</v>
      </c>
      <c r="Q26" s="38">
        <f t="shared" si="9"/>
        <v>0</v>
      </c>
      <c r="R26" s="39">
        <f t="shared" si="9"/>
        <v>0</v>
      </c>
    </row>
    <row r="28" spans="1:18" ht="15">
      <c r="A28" t="s">
        <v>119</v>
      </c>
      <c r="C28" s="176">
        <f>C24-1%</f>
        <v>0.03</v>
      </c>
      <c r="D28" s="176">
        <f aca="true" t="shared" si="10" ref="D28:R28">D24-1%</f>
        <v>0.03</v>
      </c>
      <c r="E28" s="176">
        <f t="shared" si="10"/>
        <v>0.03</v>
      </c>
      <c r="F28" s="176">
        <f t="shared" si="10"/>
        <v>0.03</v>
      </c>
      <c r="G28" s="176">
        <f t="shared" si="10"/>
        <v>0.03</v>
      </c>
      <c r="H28" s="176">
        <f t="shared" si="10"/>
        <v>0.03</v>
      </c>
      <c r="I28" s="176">
        <f t="shared" si="10"/>
        <v>0.03</v>
      </c>
      <c r="J28" s="176">
        <f t="shared" si="10"/>
        <v>0.03</v>
      </c>
      <c r="K28" s="176">
        <f t="shared" si="10"/>
        <v>0.03</v>
      </c>
      <c r="L28" s="176">
        <f t="shared" si="10"/>
        <v>0.03</v>
      </c>
      <c r="M28" s="176">
        <f t="shared" si="10"/>
        <v>0.03</v>
      </c>
      <c r="N28" s="176">
        <f t="shared" si="10"/>
        <v>0.03</v>
      </c>
      <c r="O28" s="176">
        <f t="shared" si="10"/>
        <v>0.03</v>
      </c>
      <c r="P28" s="176">
        <f t="shared" si="10"/>
        <v>0.03</v>
      </c>
      <c r="Q28" s="176">
        <f>Q24-1%</f>
        <v>0.03</v>
      </c>
      <c r="R28" s="176">
        <f t="shared" si="10"/>
        <v>0.03</v>
      </c>
    </row>
    <row r="30" ht="15">
      <c r="A30" t="s">
        <v>89</v>
      </c>
    </row>
    <row r="33" spans="1:18" ht="15">
      <c r="A33" s="40" t="s">
        <v>94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2:17" ht="15">
      <c r="B34" s="26"/>
      <c r="C34" s="27" t="s">
        <v>84</v>
      </c>
      <c r="D34" s="26">
        <v>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8" ht="15">
      <c r="A35" t="s">
        <v>82</v>
      </c>
      <c r="B35" s="26">
        <f>'Forudsætninger og 15 års budget'!C32*'Forudsætninger og 15 års budget'!C34</f>
        <v>300000</v>
      </c>
      <c r="C35" s="4">
        <f>B35</f>
        <v>300000</v>
      </c>
      <c r="D35" s="26">
        <v>0</v>
      </c>
      <c r="E35" s="26">
        <f>D39</f>
        <v>-36000</v>
      </c>
      <c r="F35" s="26">
        <f aca="true" t="shared" si="11" ref="F35:R35">E39</f>
        <v>-50175</v>
      </c>
      <c r="G35" s="26">
        <f t="shared" si="11"/>
        <v>-51365.25</v>
      </c>
      <c r="H35" s="26">
        <f t="shared" si="11"/>
        <v>-42128.280000000006</v>
      </c>
      <c r="I35" s="26">
        <f t="shared" si="11"/>
        <v>-24358.434975000004</v>
      </c>
      <c r="J35" s="26">
        <f t="shared" si="11"/>
        <v>548.5313879999958</v>
      </c>
      <c r="K35" s="26">
        <f t="shared" si="11"/>
        <v>31572.07176107249</v>
      </c>
      <c r="L35" s="26">
        <f t="shared" si="11"/>
        <v>67974.36987613769</v>
      </c>
      <c r="M35" s="26">
        <f t="shared" si="11"/>
        <v>109231.0506229456</v>
      </c>
      <c r="N35" s="26">
        <f t="shared" si="11"/>
        <v>152729.28252874082</v>
      </c>
      <c r="O35" s="26">
        <f t="shared" si="11"/>
        <v>199838.38229416814</v>
      </c>
      <c r="P35" s="26">
        <f t="shared" si="11"/>
        <v>250162.52820001583</v>
      </c>
      <c r="Q35" s="26">
        <f t="shared" si="11"/>
        <v>303624.601720775</v>
      </c>
      <c r="R35" s="26">
        <f t="shared" si="11"/>
        <v>360203.836651904</v>
      </c>
    </row>
    <row r="36" spans="1:17" ht="15">
      <c r="A36" t="s">
        <v>49</v>
      </c>
      <c r="B36" s="26"/>
      <c r="C36" s="26">
        <f>-Mellemregninger!C25</f>
        <v>-300000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8" ht="15">
      <c r="A37" t="s">
        <v>11</v>
      </c>
      <c r="B37" s="26"/>
      <c r="C37" s="26"/>
      <c r="D37" s="50">
        <f>'Forudsætninger og 15 års budget'!X13</f>
        <v>-80800</v>
      </c>
      <c r="E37" s="26">
        <f>'Forudsætninger og 15 års budget'!Y13</f>
        <v>-60900</v>
      </c>
      <c r="F37" s="26">
        <f>'Forudsætninger og 15 års budget'!Z13</f>
        <v>-45687</v>
      </c>
      <c r="G37" s="26">
        <f>'Forudsætninger og 15 års budget'!AA13</f>
        <v>-33989.04</v>
      </c>
      <c r="H37" s="26">
        <f>'Forudsætninger og 15 års budget'!AB13</f>
        <v>-24927.1233</v>
      </c>
      <c r="I37" s="26">
        <f>'Forudsætninger og 15 års budget'!AC13</f>
        <v>-17841.974016</v>
      </c>
      <c r="J37" s="26">
        <f>'Forudsætninger og 15 års budget'!AD13</f>
        <v>-12239.10512757</v>
      </c>
      <c r="K37" s="26">
        <f>'Forudsætninger og 15 års budget'!AE13</f>
        <v>-7747.619419496401</v>
      </c>
      <c r="L37" s="26">
        <f>'Forudsætninger og 15 års budget'!AF13</f>
        <v>-4089.3100891519534</v>
      </c>
      <c r="M37" s="26">
        <f>'Forudsætninger og 15 års budget'!AG13</f>
        <v>-4055.486098080304</v>
      </c>
      <c r="N37" s="26">
        <f>'Forudsætninger og 15 års budget'!AH13</f>
        <v>-2289.591076406794</v>
      </c>
      <c r="O37" s="26">
        <f>'Forudsætninger og 15 års budget'!AI13</f>
        <v>-1274.1673862647858</v>
      </c>
      <c r="P37" s="26">
        <f>'Forudsætninger og 15 års budget'!AJ13</f>
        <v>-521.0790485964753</v>
      </c>
      <c r="Q37" s="26">
        <f>'Forudsætninger og 15 års budget'!AK13</f>
        <v>35.82118869984515</v>
      </c>
      <c r="R37" s="26">
        <f>'Forudsætninger og 15 års budget'!AL13</f>
        <v>446.1916831092294</v>
      </c>
    </row>
    <row r="38" spans="1:18" ht="15">
      <c r="A38" t="s">
        <v>83</v>
      </c>
      <c r="B38" s="26"/>
      <c r="C38" s="26">
        <v>0</v>
      </c>
      <c r="D38" s="26">
        <f>'Forudsætninger og 15 års budget'!X30</f>
        <v>44800</v>
      </c>
      <c r="E38" s="26">
        <f>'Forudsætninger og 15 års budget'!Y41</f>
        <v>46725</v>
      </c>
      <c r="F38" s="26">
        <f>'Forudsætninger og 15 års budget'!Z41</f>
        <v>44496.75</v>
      </c>
      <c r="G38" s="26">
        <f>'Forudsætninger og 15 års budget'!AA41</f>
        <v>43226.01</v>
      </c>
      <c r="H38" s="26">
        <f>'Forudsætninger og 15 års budget'!AB41</f>
        <v>42696.968325</v>
      </c>
      <c r="I38" s="26">
        <f>'Forudsætninger og 15 års budget'!AC41</f>
        <v>42748.940379</v>
      </c>
      <c r="J38" s="26">
        <f>'Forudsætninger og 15 års budget'!AD41</f>
        <v>43262.645500642495</v>
      </c>
      <c r="K38" s="26">
        <f>'Forudsætninger og 15 års budget'!AE41</f>
        <v>44149.917534561595</v>
      </c>
      <c r="L38" s="26">
        <f>'Forudsætninger og 15 års budget'!AF41</f>
        <v>45345.99083595986</v>
      </c>
      <c r="M38" s="26">
        <f>'Forudsætninger og 15 års budget'!AG41</f>
        <v>47553.71800387554</v>
      </c>
      <c r="N38" s="26">
        <f>'Forudsætninger og 15 års budget'!AH41</f>
        <v>49398.69084183412</v>
      </c>
      <c r="O38" s="26">
        <f>'Forudsætninger og 15 års budget'!AI41</f>
        <v>51598.31329211248</v>
      </c>
      <c r="P38" s="26">
        <f>'Forudsætninger og 15 års budget'!AJ41</f>
        <v>53983.152569355654</v>
      </c>
      <c r="Q38" s="26">
        <f>'Forudsætninger og 15 års budget'!AK41</f>
        <v>56543.413742429104</v>
      </c>
      <c r="R38" s="26">
        <f>'Forudsætninger og 15 års budget'!AL41</f>
        <v>59273.57113983486</v>
      </c>
    </row>
    <row r="39" spans="1:18" ht="15.75" thickBot="1">
      <c r="A39" s="44" t="s">
        <v>85</v>
      </c>
      <c r="B39" s="45"/>
      <c r="C39" s="45">
        <f>SUM(C35:C38)</f>
        <v>0</v>
      </c>
      <c r="D39" s="45">
        <f>SUM(D34:D38)</f>
        <v>-36000</v>
      </c>
      <c r="E39" s="45">
        <f aca="true" t="shared" si="12" ref="E39:R39">SUM(E34:E38)</f>
        <v>-50175</v>
      </c>
      <c r="F39" s="45">
        <f t="shared" si="12"/>
        <v>-51365.25</v>
      </c>
      <c r="G39" s="45">
        <f t="shared" si="12"/>
        <v>-42128.280000000006</v>
      </c>
      <c r="H39" s="45">
        <f t="shared" si="12"/>
        <v>-24358.434975000004</v>
      </c>
      <c r="I39" s="45">
        <f t="shared" si="12"/>
        <v>548.5313879999958</v>
      </c>
      <c r="J39" s="45">
        <f t="shared" si="12"/>
        <v>31572.07176107249</v>
      </c>
      <c r="K39" s="45">
        <f t="shared" si="12"/>
        <v>67974.36987613769</v>
      </c>
      <c r="L39" s="45">
        <f t="shared" si="12"/>
        <v>109231.0506229456</v>
      </c>
      <c r="M39" s="45">
        <f t="shared" si="12"/>
        <v>152729.28252874082</v>
      </c>
      <c r="N39" s="45">
        <f t="shared" si="12"/>
        <v>199838.38229416814</v>
      </c>
      <c r="O39" s="45">
        <f t="shared" si="12"/>
        <v>250162.52820001583</v>
      </c>
      <c r="P39" s="45">
        <f t="shared" si="12"/>
        <v>303624.601720775</v>
      </c>
      <c r="Q39" s="45">
        <f t="shared" si="12"/>
        <v>360203.836651904</v>
      </c>
      <c r="R39" s="45">
        <f t="shared" si="12"/>
        <v>419923.5994748481</v>
      </c>
    </row>
    <row r="40" spans="2:17" ht="15.75" thickTop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2:18" ht="15">
      <c r="B41" s="48"/>
      <c r="C41" s="2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7" ht="15.75" thickBot="1">
      <c r="A42" t="s">
        <v>162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8" ht="15.75" thickBot="1">
      <c r="A43" s="41"/>
      <c r="B43" s="42"/>
      <c r="C43" s="42"/>
      <c r="D43" s="42">
        <v>1</v>
      </c>
      <c r="E43" s="42">
        <v>2</v>
      </c>
      <c r="F43" s="42">
        <v>3</v>
      </c>
      <c r="G43" s="42">
        <v>4</v>
      </c>
      <c r="H43" s="42">
        <v>5</v>
      </c>
      <c r="I43" s="42">
        <v>6</v>
      </c>
      <c r="J43" s="42">
        <v>7</v>
      </c>
      <c r="K43" s="42">
        <v>8</v>
      </c>
      <c r="L43" s="42">
        <v>9</v>
      </c>
      <c r="M43" s="42">
        <v>10</v>
      </c>
      <c r="N43" s="42">
        <v>11</v>
      </c>
      <c r="O43" s="42">
        <v>12</v>
      </c>
      <c r="P43" s="42">
        <v>13</v>
      </c>
      <c r="Q43" s="42">
        <v>14</v>
      </c>
      <c r="R43" s="43">
        <v>15</v>
      </c>
    </row>
    <row r="45" spans="1:18" ht="15">
      <c r="A45" t="s">
        <v>163</v>
      </c>
      <c r="D45" s="1">
        <f>-'Forudsætninger og 15 års budget'!X43</f>
        <v>-5400</v>
      </c>
      <c r="E45" s="1">
        <f>-'Forudsætninger og 15 års budget'!Y43</f>
        <v>-3075</v>
      </c>
      <c r="F45" s="1">
        <f>-'Forudsætninger og 15 års budget'!Z43</f>
        <v>-1997.25</v>
      </c>
      <c r="G45" s="1">
        <f>-'Forudsætninger og 15 års budget'!AA43</f>
        <v>-1877.5950000000012</v>
      </c>
      <c r="H45" s="1">
        <f>-'Forudsætninger og 15 års budget'!AB43</f>
        <v>-2500.3137750000024</v>
      </c>
      <c r="I45" s="1">
        <f>-'Forudsætninger og 15 års budget'!AC43</f>
        <v>-3704.8179254999995</v>
      </c>
      <c r="J45" s="1">
        <f>-'Forudsætninger og 15 års budget'!AD43</f>
        <v>-5371.929044947494</v>
      </c>
      <c r="K45" s="1">
        <f>-'Forudsætninger og 15 års budget'!AE43</f>
        <v>-7413.58961897144</v>
      </c>
      <c r="L45" s="1">
        <f>-'Forudsætninger og 15 års budget'!AF43</f>
        <v>-9765.149374737593</v>
      </c>
      <c r="M45" s="1">
        <f>-'Forudsætninger og 15 års budget'!AG43</f>
        <v>-13129.5833767425</v>
      </c>
      <c r="N45" s="1">
        <f>-'Forudsætninger og 15 års budget'!AH43</f>
        <v>-45332.61336863777</v>
      </c>
      <c r="O45" s="1">
        <f>-'Forudsætninger og 15 års budget'!AI43</f>
        <v>-47491.78110825553</v>
      </c>
      <c r="P45" s="1">
        <f>-'Forudsætninger og 15 års budget'!AJ43</f>
        <v>-49837.79992256506</v>
      </c>
      <c r="Q45" s="1">
        <f>-'Forudsætninger og 15 års budget'!AK43</f>
        <v>-52361.02973248336</v>
      </c>
      <c r="R45" s="1">
        <f>-'Forudsætninger og 15 års budget'!AL43</f>
        <v>-55056.108923959895</v>
      </c>
    </row>
    <row r="46" spans="1:18" ht="15">
      <c r="A46" s="37" t="s">
        <v>54</v>
      </c>
      <c r="B46" s="37"/>
      <c r="C46" s="37"/>
      <c r="D46" s="49">
        <f>D26</f>
        <v>30000</v>
      </c>
      <c r="E46" s="49">
        <f aca="true" t="shared" si="13" ref="E46:R46">E26</f>
        <v>30000</v>
      </c>
      <c r="F46" s="49">
        <f t="shared" si="13"/>
        <v>30000</v>
      </c>
      <c r="G46" s="49">
        <f t="shared" si="13"/>
        <v>30000</v>
      </c>
      <c r="H46" s="49">
        <f t="shared" si="13"/>
        <v>30000</v>
      </c>
      <c r="I46" s="49">
        <f t="shared" si="13"/>
        <v>30000</v>
      </c>
      <c r="J46" s="49">
        <f t="shared" si="13"/>
        <v>30000</v>
      </c>
      <c r="K46" s="49">
        <f t="shared" si="13"/>
        <v>30000</v>
      </c>
      <c r="L46" s="49">
        <f t="shared" si="13"/>
        <v>30000</v>
      </c>
      <c r="M46" s="49">
        <f t="shared" si="13"/>
        <v>30000</v>
      </c>
      <c r="N46" s="49">
        <f t="shared" si="13"/>
        <v>0</v>
      </c>
      <c r="O46" s="49">
        <f t="shared" si="13"/>
        <v>0</v>
      </c>
      <c r="P46" s="49">
        <f t="shared" si="13"/>
        <v>0</v>
      </c>
      <c r="Q46" s="49">
        <f t="shared" si="13"/>
        <v>0</v>
      </c>
      <c r="R46" s="49">
        <f t="shared" si="13"/>
        <v>0</v>
      </c>
    </row>
    <row r="47" spans="1:18" ht="15">
      <c r="A47" s="264" t="s">
        <v>164</v>
      </c>
      <c r="D47" s="1">
        <f>SUM(D45:D46)</f>
        <v>24600</v>
      </c>
      <c r="E47" s="1">
        <f aca="true" t="shared" si="14" ref="E47:R47">SUM(E45:E46)</f>
        <v>26925</v>
      </c>
      <c r="F47" s="1">
        <f t="shared" si="14"/>
        <v>28002.75</v>
      </c>
      <c r="G47" s="1">
        <f t="shared" si="14"/>
        <v>28122.405</v>
      </c>
      <c r="H47" s="1">
        <f t="shared" si="14"/>
        <v>27499.686224999998</v>
      </c>
      <c r="I47" s="1">
        <f t="shared" si="14"/>
        <v>26295.1820745</v>
      </c>
      <c r="J47" s="1">
        <f t="shared" si="14"/>
        <v>24628.070955052506</v>
      </c>
      <c r="K47" s="1">
        <f t="shared" si="14"/>
        <v>22586.41038102856</v>
      </c>
      <c r="L47" s="1">
        <f t="shared" si="14"/>
        <v>20234.850625262407</v>
      </c>
      <c r="M47" s="1">
        <f t="shared" si="14"/>
        <v>16870.4166232575</v>
      </c>
      <c r="N47" s="1">
        <f t="shared" si="14"/>
        <v>-45332.61336863777</v>
      </c>
      <c r="O47" s="1">
        <f t="shared" si="14"/>
        <v>-47491.78110825553</v>
      </c>
      <c r="P47" s="1">
        <f t="shared" si="14"/>
        <v>-49837.79992256506</v>
      </c>
      <c r="Q47" s="1">
        <f t="shared" si="14"/>
        <v>-52361.02973248336</v>
      </c>
      <c r="R47" s="1">
        <f t="shared" si="14"/>
        <v>-55056.108923959895</v>
      </c>
    </row>
    <row r="48" spans="1:18" ht="15">
      <c r="A48" s="264" t="s">
        <v>165</v>
      </c>
      <c r="D48" s="1">
        <f>D47</f>
        <v>24600</v>
      </c>
      <c r="E48" s="1">
        <f>E47+D48</f>
        <v>51525</v>
      </c>
      <c r="F48" s="1">
        <f aca="true" t="shared" si="15" ref="F48:N48">F47+E48</f>
        <v>79527.75</v>
      </c>
      <c r="G48" s="1">
        <f t="shared" si="15"/>
        <v>107650.155</v>
      </c>
      <c r="H48" s="1">
        <f t="shared" si="15"/>
        <v>135149.84122499998</v>
      </c>
      <c r="I48" s="1">
        <f t="shared" si="15"/>
        <v>161445.0232995</v>
      </c>
      <c r="J48" s="1">
        <f t="shared" si="15"/>
        <v>186073.0942545525</v>
      </c>
      <c r="K48" s="1">
        <f t="shared" si="15"/>
        <v>208659.50463558105</v>
      </c>
      <c r="L48" s="1">
        <f t="shared" si="15"/>
        <v>228894.35526084347</v>
      </c>
      <c r="M48" s="1">
        <f t="shared" si="15"/>
        <v>245764.77188410098</v>
      </c>
      <c r="N48" s="1">
        <f t="shared" si="15"/>
        <v>200432.1585154632</v>
      </c>
      <c r="O48" s="1">
        <f>O47+N48</f>
        <v>152940.37740720768</v>
      </c>
      <c r="P48" s="1">
        <f>P47+O48</f>
        <v>103102.57748464262</v>
      </c>
      <c r="Q48" s="1">
        <f>Q47+P48</f>
        <v>50741.54775215926</v>
      </c>
      <c r="R48" s="1">
        <f>R47+Q48</f>
        <v>-4314.561171800633</v>
      </c>
    </row>
    <row r="53" spans="2:17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5">
      <c r="A54" t="s">
        <v>91</v>
      </c>
      <c r="B54" s="51" t="s">
        <v>95</v>
      </c>
      <c r="C54" s="26">
        <f>'Forudsætninger og 15 års budget'!C32</f>
        <v>300000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2:17" ht="15">
      <c r="B55" s="51" t="s">
        <v>96</v>
      </c>
      <c r="C55" s="26">
        <f>'Forudsætninger og 15 års budget'!C32*'Forudsætninger og 15 års budget'!C34</f>
        <v>300000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7" ht="15">
      <c r="B56" s="26"/>
      <c r="C56" s="26">
        <v>0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ht="15">
      <c r="B57" s="51" t="s">
        <v>84</v>
      </c>
      <c r="C57" s="26"/>
      <c r="D57" s="26">
        <v>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8" ht="15">
      <c r="B58" s="51" t="s">
        <v>97</v>
      </c>
      <c r="C58" s="26"/>
      <c r="D58" s="26">
        <f>D38</f>
        <v>44800</v>
      </c>
      <c r="E58" s="50">
        <f aca="true" t="shared" si="16" ref="E58:R58">E38</f>
        <v>46725</v>
      </c>
      <c r="F58" s="50">
        <f t="shared" si="16"/>
        <v>44496.75</v>
      </c>
      <c r="G58" s="50">
        <f t="shared" si="16"/>
        <v>43226.01</v>
      </c>
      <c r="H58" s="50">
        <f t="shared" si="16"/>
        <v>42696.968325</v>
      </c>
      <c r="I58" s="50">
        <f t="shared" si="16"/>
        <v>42748.940379</v>
      </c>
      <c r="J58" s="50">
        <f t="shared" si="16"/>
        <v>43262.645500642495</v>
      </c>
      <c r="K58" s="50">
        <f t="shared" si="16"/>
        <v>44149.917534561595</v>
      </c>
      <c r="L58" s="50">
        <f t="shared" si="16"/>
        <v>45345.99083595986</v>
      </c>
      <c r="M58" s="50">
        <f t="shared" si="16"/>
        <v>47553.71800387554</v>
      </c>
      <c r="N58" s="50">
        <f t="shared" si="16"/>
        <v>49398.69084183412</v>
      </c>
      <c r="O58" s="50">
        <f t="shared" si="16"/>
        <v>51598.31329211248</v>
      </c>
      <c r="P58" s="50">
        <f t="shared" si="16"/>
        <v>53983.152569355654</v>
      </c>
      <c r="Q58" s="50">
        <f t="shared" si="16"/>
        <v>56543.413742429104</v>
      </c>
      <c r="R58" s="50">
        <f t="shared" si="16"/>
        <v>59273.57113983486</v>
      </c>
    </row>
    <row r="59" spans="2:17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8" ht="15">
      <c r="B60" s="51" t="s">
        <v>98</v>
      </c>
      <c r="C60" s="50"/>
      <c r="D60" s="50">
        <f>D58</f>
        <v>44800</v>
      </c>
      <c r="E60" s="50">
        <f>E58+D60</f>
        <v>91525</v>
      </c>
      <c r="F60" s="50">
        <f aca="true" t="shared" si="17" ref="F60:R60">F58+E60</f>
        <v>136021.75</v>
      </c>
      <c r="G60" s="50">
        <f t="shared" si="17"/>
        <v>179247.76</v>
      </c>
      <c r="H60" s="50">
        <f t="shared" si="17"/>
        <v>221944.728325</v>
      </c>
      <c r="I60" s="50">
        <f t="shared" si="17"/>
        <v>264693.668704</v>
      </c>
      <c r="J60" s="50">
        <f t="shared" si="17"/>
        <v>307956.3142046425</v>
      </c>
      <c r="K60" s="50">
        <f t="shared" si="17"/>
        <v>352106.2317392041</v>
      </c>
      <c r="L60" s="50">
        <f t="shared" si="17"/>
        <v>397452.22257516393</v>
      </c>
      <c r="M60" s="50">
        <f t="shared" si="17"/>
        <v>445005.94057903945</v>
      </c>
      <c r="N60" s="50">
        <f t="shared" si="17"/>
        <v>494404.6314208736</v>
      </c>
      <c r="O60" s="50">
        <f t="shared" si="17"/>
        <v>546002.944712986</v>
      </c>
      <c r="P60" s="50">
        <f t="shared" si="17"/>
        <v>599986.0972823417</v>
      </c>
      <c r="Q60" s="50">
        <f t="shared" si="17"/>
        <v>656529.5110247708</v>
      </c>
      <c r="R60" s="50">
        <f t="shared" si="17"/>
        <v>715803.0821646056</v>
      </c>
    </row>
    <row r="61" spans="2:17" ht="1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2:17" ht="1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8" ht="15">
      <c r="A63" s="2" t="s">
        <v>81</v>
      </c>
      <c r="B63" s="26"/>
      <c r="C63" s="26"/>
      <c r="D63" s="46">
        <v>0.04</v>
      </c>
      <c r="E63" s="46">
        <v>0.04</v>
      </c>
      <c r="F63" s="46">
        <v>0.04</v>
      </c>
      <c r="G63" s="46">
        <v>0.04</v>
      </c>
      <c r="H63" s="46">
        <v>0.04</v>
      </c>
      <c r="I63" s="46">
        <v>0.04</v>
      </c>
      <c r="J63" s="46">
        <v>0.04</v>
      </c>
      <c r="K63" s="46">
        <v>0.04</v>
      </c>
      <c r="L63" s="46">
        <v>0.04</v>
      </c>
      <c r="M63" s="46">
        <v>0.04</v>
      </c>
      <c r="N63" s="46">
        <v>0.04</v>
      </c>
      <c r="O63" s="46">
        <v>0.04</v>
      </c>
      <c r="P63" s="46">
        <v>0.04</v>
      </c>
      <c r="Q63" s="46">
        <v>0.04</v>
      </c>
      <c r="R63" s="46">
        <v>0.04</v>
      </c>
    </row>
    <row r="64" spans="2:17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8" ht="15">
      <c r="A65" t="s">
        <v>86</v>
      </c>
      <c r="B65" s="26"/>
      <c r="D65" s="26">
        <f>D5</f>
        <v>225000</v>
      </c>
      <c r="E65" s="51">
        <f aca="true" t="shared" si="18" ref="E65:R65">E5</f>
        <v>168750</v>
      </c>
      <c r="F65" s="51">
        <f t="shared" si="18"/>
        <v>126562.5</v>
      </c>
      <c r="G65" s="51">
        <f t="shared" si="18"/>
        <v>94921.875</v>
      </c>
      <c r="H65" s="51">
        <f t="shared" si="18"/>
        <v>71191.40625</v>
      </c>
      <c r="I65" s="51">
        <f t="shared" si="18"/>
        <v>53393.5546875</v>
      </c>
      <c r="J65" s="51">
        <f t="shared" si="18"/>
        <v>40045.166015625</v>
      </c>
      <c r="K65" s="51">
        <f t="shared" si="18"/>
        <v>30033.87451171875</v>
      </c>
      <c r="L65" s="51">
        <f t="shared" si="18"/>
        <v>22525.405883789062</v>
      </c>
      <c r="M65" s="51">
        <f t="shared" si="18"/>
        <v>16894.054412841797</v>
      </c>
      <c r="N65" s="51">
        <f t="shared" si="18"/>
        <v>12670.540809631348</v>
      </c>
      <c r="O65" s="51">
        <f t="shared" si="18"/>
        <v>9502.90560722351</v>
      </c>
      <c r="P65" s="51">
        <f t="shared" si="18"/>
        <v>7127.179205417633</v>
      </c>
      <c r="Q65" s="51">
        <f t="shared" si="18"/>
        <v>5345.384404063225</v>
      </c>
      <c r="R65" s="51">
        <f t="shared" si="18"/>
        <v>4009.0383030474186</v>
      </c>
    </row>
    <row r="66" spans="1:18" ht="15">
      <c r="A66" t="s">
        <v>49</v>
      </c>
      <c r="B66" s="26"/>
      <c r="D66" s="26">
        <f>-C25</f>
        <v>-300000</v>
      </c>
      <c r="E66" s="26">
        <f aca="true" t="shared" si="19" ref="E66:R66">-D25</f>
        <v>-270000</v>
      </c>
      <c r="F66" s="26">
        <f t="shared" si="19"/>
        <v>-240000</v>
      </c>
      <c r="G66" s="26">
        <f t="shared" si="19"/>
        <v>-210000</v>
      </c>
      <c r="H66" s="26">
        <f t="shared" si="19"/>
        <v>-180000</v>
      </c>
      <c r="I66" s="26">
        <f t="shared" si="19"/>
        <v>-150000</v>
      </c>
      <c r="J66" s="26">
        <f t="shared" si="19"/>
        <v>-120000</v>
      </c>
      <c r="K66" s="26">
        <f t="shared" si="19"/>
        <v>-90000</v>
      </c>
      <c r="L66" s="26">
        <f t="shared" si="19"/>
        <v>-60000</v>
      </c>
      <c r="M66" s="26">
        <f t="shared" si="19"/>
        <v>-30000</v>
      </c>
      <c r="N66" s="26">
        <f t="shared" si="19"/>
        <v>0</v>
      </c>
      <c r="O66" s="26">
        <f t="shared" si="19"/>
        <v>0</v>
      </c>
      <c r="P66" s="26">
        <f t="shared" si="19"/>
        <v>0</v>
      </c>
      <c r="Q66" s="26">
        <f t="shared" si="19"/>
        <v>0</v>
      </c>
      <c r="R66" s="26">
        <f t="shared" si="19"/>
        <v>0</v>
      </c>
    </row>
    <row r="67" spans="1:18" ht="15.75" thickBot="1">
      <c r="A67" s="44"/>
      <c r="B67" s="45"/>
      <c r="C67" s="45"/>
      <c r="D67" s="45">
        <f>SUM(D65:D66)</f>
        <v>-75000</v>
      </c>
      <c r="E67" s="45">
        <f aca="true" t="shared" si="20" ref="E67:R67">SUM(E65:E66)</f>
        <v>-101250</v>
      </c>
      <c r="F67" s="45">
        <f t="shared" si="20"/>
        <v>-113437.5</v>
      </c>
      <c r="G67" s="45">
        <f t="shared" si="20"/>
        <v>-115078.125</v>
      </c>
      <c r="H67" s="45">
        <f t="shared" si="20"/>
        <v>-108808.59375</v>
      </c>
      <c r="I67" s="45">
        <f t="shared" si="20"/>
        <v>-96606.4453125</v>
      </c>
      <c r="J67" s="45">
        <f t="shared" si="20"/>
        <v>-79954.833984375</v>
      </c>
      <c r="K67" s="45">
        <f t="shared" si="20"/>
        <v>-59966.12548828125</v>
      </c>
      <c r="L67" s="45">
        <f t="shared" si="20"/>
        <v>-37474.59411621094</v>
      </c>
      <c r="M67" s="45">
        <f t="shared" si="20"/>
        <v>-13105.945587158203</v>
      </c>
      <c r="N67" s="45">
        <f t="shared" si="20"/>
        <v>12670.540809631348</v>
      </c>
      <c r="O67" s="45">
        <f t="shared" si="20"/>
        <v>9502.90560722351</v>
      </c>
      <c r="P67" s="45">
        <f t="shared" si="20"/>
        <v>7127.179205417633</v>
      </c>
      <c r="Q67" s="45">
        <f t="shared" si="20"/>
        <v>5345.384404063225</v>
      </c>
      <c r="R67" s="45">
        <f t="shared" si="20"/>
        <v>4009.0383030474186</v>
      </c>
    </row>
    <row r="68" ht="15.75" thickTop="1"/>
    <row r="69" spans="1:18" ht="15.75" thickBot="1">
      <c r="A69" s="44" t="s">
        <v>81</v>
      </c>
      <c r="B69" s="44"/>
      <c r="C69" s="44"/>
      <c r="D69" s="47">
        <f aca="true" t="shared" si="21" ref="D69:R69">IF(D67&gt;0,D67*D63,0)</f>
        <v>0</v>
      </c>
      <c r="E69" s="47">
        <f t="shared" si="21"/>
        <v>0</v>
      </c>
      <c r="F69" s="47">
        <f t="shared" si="21"/>
        <v>0</v>
      </c>
      <c r="G69" s="47">
        <f t="shared" si="21"/>
        <v>0</v>
      </c>
      <c r="H69" s="47">
        <f t="shared" si="21"/>
        <v>0</v>
      </c>
      <c r="I69" s="47">
        <f t="shared" si="21"/>
        <v>0</v>
      </c>
      <c r="J69" s="47">
        <f t="shared" si="21"/>
        <v>0</v>
      </c>
      <c r="K69" s="47">
        <f t="shared" si="21"/>
        <v>0</v>
      </c>
      <c r="L69" s="47">
        <f t="shared" si="21"/>
        <v>0</v>
      </c>
      <c r="M69" s="47">
        <f t="shared" si="21"/>
        <v>0</v>
      </c>
      <c r="N69" s="47">
        <f t="shared" si="21"/>
        <v>506.8216323852539</v>
      </c>
      <c r="O69" s="47">
        <f t="shared" si="21"/>
        <v>380.11622428894043</v>
      </c>
      <c r="P69" s="47">
        <f t="shared" si="21"/>
        <v>285.0871682167053</v>
      </c>
      <c r="Q69" s="47">
        <f t="shared" si="21"/>
        <v>213.815376162529</v>
      </c>
      <c r="R69" s="47">
        <f t="shared" si="21"/>
        <v>160.36153212189674</v>
      </c>
    </row>
    <row r="70" ht="15.75" thickTop="1"/>
    <row r="71" spans="1:18" ht="15">
      <c r="A71" t="s">
        <v>50</v>
      </c>
      <c r="D71" s="1">
        <f>'Forudsætninger og 15 års budget'!X13</f>
        <v>-80800</v>
      </c>
      <c r="E71" s="1">
        <f>'Forudsætninger og 15 års budget'!Y13</f>
        <v>-60900</v>
      </c>
      <c r="F71" s="1">
        <f>'Forudsætninger og 15 års budget'!Z13</f>
        <v>-45687</v>
      </c>
      <c r="G71" s="1">
        <f>'Forudsætninger og 15 års budget'!AA13</f>
        <v>-33989.04</v>
      </c>
      <c r="H71" s="1">
        <f>'Forudsætninger og 15 års budget'!AB13</f>
        <v>-24927.1233</v>
      </c>
      <c r="I71" s="1">
        <f>'Forudsætninger og 15 års budget'!AC13</f>
        <v>-17841.974016</v>
      </c>
      <c r="J71" s="1">
        <f>'Forudsætninger og 15 års budget'!AD13</f>
        <v>-12239.10512757</v>
      </c>
      <c r="K71" s="1">
        <f>'Forudsætninger og 15 års budget'!AE13</f>
        <v>-7747.619419496401</v>
      </c>
      <c r="L71" s="1">
        <f>'Forudsætninger og 15 års budget'!AF13</f>
        <v>-4089.3100891519534</v>
      </c>
      <c r="M71" s="1">
        <f>'Forudsætninger og 15 års budget'!AG13</f>
        <v>-4055.486098080304</v>
      </c>
      <c r="N71" s="1">
        <f>'Forudsætninger og 15 års budget'!AH13</f>
        <v>-2289.591076406794</v>
      </c>
      <c r="O71" s="1">
        <f>'Forudsætninger og 15 års budget'!AI13</f>
        <v>-1274.1673862647858</v>
      </c>
      <c r="P71" s="1">
        <f>'Forudsætninger og 15 års budget'!AJ13</f>
        <v>-521.0790485964753</v>
      </c>
      <c r="Q71" s="1">
        <f>'Forudsætninger og 15 års budget'!AK13</f>
        <v>35.82118869984515</v>
      </c>
      <c r="R71" s="1">
        <f>'Forudsætninger og 15 års budget'!AL13</f>
        <v>446.1916831092294</v>
      </c>
    </row>
  </sheetData>
  <sheetProtection/>
  <printOptions/>
  <pageMargins left="0.7086614173228347" right="3.1496062992125986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Footer>&amp;L&amp;F / &amp;A
&amp;C&amp;P af &amp;N&amp;R&amp;D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8.00390625" style="53" customWidth="1"/>
    <col min="2" max="2" width="14.57421875" style="53" customWidth="1"/>
    <col min="3" max="3" width="17.57421875" style="53" customWidth="1"/>
    <col min="4" max="4" width="13.57421875" style="53" customWidth="1"/>
    <col min="5" max="5" width="20.57421875" style="53" customWidth="1"/>
    <col min="6" max="6" width="11.421875" style="53" customWidth="1"/>
    <col min="7" max="7" width="16.28125" style="53" customWidth="1"/>
    <col min="8" max="8" width="9.140625" style="53" customWidth="1"/>
    <col min="9" max="9" width="10.8515625" style="53" bestFit="1" customWidth="1"/>
    <col min="10" max="16384" width="9.140625" style="53" customWidth="1"/>
  </cols>
  <sheetData>
    <row r="1" spans="1:5" ht="24.75">
      <c r="A1" s="246" t="s">
        <v>146</v>
      </c>
      <c r="B1" s="237"/>
      <c r="D1" s="167"/>
      <c r="E1" s="70"/>
    </row>
    <row r="2" spans="1:7" ht="14.25">
      <c r="A2" s="247"/>
      <c r="B2" s="247"/>
      <c r="C2" s="247" t="s">
        <v>151</v>
      </c>
      <c r="D2" s="247"/>
      <c r="E2" s="247" t="s">
        <v>152</v>
      </c>
      <c r="F2" s="247"/>
      <c r="G2" s="247" t="s">
        <v>153</v>
      </c>
    </row>
    <row r="3" spans="1:7" ht="14.25">
      <c r="A3" s="53" t="s">
        <v>147</v>
      </c>
      <c r="B3" s="52"/>
      <c r="C3" s="52">
        <f>-'Forudsætninger og 15 års budget'!C17</f>
        <v>-15000</v>
      </c>
      <c r="D3" s="52"/>
      <c r="E3" s="52">
        <f>-'Forudsætninger og 15 års budget'!C16</f>
        <v>-1000</v>
      </c>
      <c r="F3" s="52"/>
      <c r="G3" s="52">
        <f>SUM(C3:E3)</f>
        <v>-16000</v>
      </c>
    </row>
    <row r="4" spans="1:7" ht="14.25">
      <c r="A4" s="53" t="s">
        <v>148</v>
      </c>
      <c r="B4" s="52">
        <f>G4*'Forudsætninger og 15 års budget'!F17</f>
        <v>15937.5</v>
      </c>
      <c r="C4" s="52"/>
      <c r="D4" s="52">
        <f>G4*'Forudsætninger og 15 års budget'!F16</f>
        <v>1062.5</v>
      </c>
      <c r="E4" s="52"/>
      <c r="F4" s="52"/>
      <c r="G4" s="52">
        <f>'Forudsætninger og 15 års budget'!C21</f>
        <v>17000</v>
      </c>
    </row>
    <row r="5" spans="2:7" ht="14.25">
      <c r="B5" s="52"/>
      <c r="C5" s="52">
        <f>SUM(B4:B5)</f>
        <v>15937.5</v>
      </c>
      <c r="D5" s="52"/>
      <c r="E5" s="52">
        <f>SUM(D4:D5)</f>
        <v>1062.5</v>
      </c>
      <c r="F5" s="52"/>
      <c r="G5" s="52">
        <f>D5+B5</f>
        <v>0</v>
      </c>
    </row>
    <row r="6" spans="1:9" ht="15" thickBot="1">
      <c r="A6" s="125" t="s">
        <v>121</v>
      </c>
      <c r="B6" s="248"/>
      <c r="C6" s="248">
        <f>SUM(C3:C5)</f>
        <v>937.5</v>
      </c>
      <c r="D6" s="248"/>
      <c r="E6" s="248">
        <f>SUM(E3:E5)</f>
        <v>62.5</v>
      </c>
      <c r="F6" s="248"/>
      <c r="G6" s="248">
        <f>SUM(G3:G5)</f>
        <v>1000</v>
      </c>
      <c r="I6" s="169"/>
    </row>
    <row r="7" spans="2:7" ht="15" thickTop="1">
      <c r="B7" s="52"/>
      <c r="C7" s="52"/>
      <c r="D7" s="52"/>
      <c r="E7" s="52"/>
      <c r="F7" s="52"/>
      <c r="G7" s="52"/>
    </row>
    <row r="8" spans="1:7" ht="14.25">
      <c r="A8" s="231" t="s">
        <v>154</v>
      </c>
      <c r="B8" s="229"/>
      <c r="C8" s="241">
        <f>IF(C6&lt;0,C5*'Forudsætninger og 15 års budget'!$C$23,-C3*'Forudsætninger og 15 års budget'!$C$23)</f>
        <v>30000</v>
      </c>
      <c r="D8" s="241"/>
      <c r="E8" s="241"/>
      <c r="F8" s="241"/>
      <c r="G8" s="242">
        <f>SUM(C8:E8)</f>
        <v>30000</v>
      </c>
    </row>
    <row r="9" spans="1:7" ht="16.5" customHeight="1">
      <c r="A9" s="238" t="s">
        <v>159</v>
      </c>
      <c r="B9" s="62"/>
      <c r="C9" s="232"/>
      <c r="D9" s="232"/>
      <c r="E9" s="232">
        <f>IF(E6&lt;0,E5*'Forudsætninger og 15 års budget'!$C$24,E3*-'Forudsætninger og 15 års budget'!$C$24)</f>
        <v>1000</v>
      </c>
      <c r="F9" s="232"/>
      <c r="G9" s="233">
        <f>SUM(C9:E9)</f>
        <v>1000</v>
      </c>
    </row>
    <row r="10" spans="2:7" ht="14.25">
      <c r="B10" s="52"/>
      <c r="C10" s="243"/>
      <c r="D10" s="243"/>
      <c r="E10" s="243"/>
      <c r="F10" s="243"/>
      <c r="G10" s="243"/>
    </row>
    <row r="11" spans="1:7" ht="14.25">
      <c r="A11" s="239" t="s">
        <v>149</v>
      </c>
      <c r="B11" s="240"/>
      <c r="C11" s="244">
        <f>IF(C6&lt;0,C6*'Forudsætninger og 15 års budget'!$C$23,0)</f>
        <v>0</v>
      </c>
      <c r="D11" s="244"/>
      <c r="E11" s="244">
        <f>IF(E6&lt;0,E6*'Forudsætninger og 15 års budget'!$C$24,0)</f>
        <v>0</v>
      </c>
      <c r="F11" s="244"/>
      <c r="G11" s="245">
        <f>SUM(C11:E11)</f>
        <v>0</v>
      </c>
    </row>
    <row r="12" spans="2:7" ht="14.25">
      <c r="B12" s="52"/>
      <c r="C12" s="243"/>
      <c r="D12" s="243"/>
      <c r="E12" s="243"/>
      <c r="F12" s="243"/>
      <c r="G12" s="243"/>
    </row>
    <row r="13" spans="1:7" ht="14.25">
      <c r="A13" s="239" t="s">
        <v>150</v>
      </c>
      <c r="B13" s="240"/>
      <c r="C13" s="244">
        <f>IF(C6&gt;0,-C3*'Forudsætninger og 15 års budget'!$C$25,C5*'Forudsætninger og 15 års budget'!$C$25)</f>
        <v>9000</v>
      </c>
      <c r="D13" s="244"/>
      <c r="E13" s="244"/>
      <c r="F13" s="244"/>
      <c r="G13" s="245">
        <f>SUM(C13:E13)</f>
        <v>9000</v>
      </c>
    </row>
    <row r="14" spans="2:7" ht="14.25">
      <c r="B14" s="52"/>
      <c r="C14" s="243"/>
      <c r="D14" s="243"/>
      <c r="E14" s="243"/>
      <c r="F14" s="243"/>
      <c r="G14" s="243"/>
    </row>
    <row r="15" spans="1:7" ht="14.25">
      <c r="A15" s="239" t="s">
        <v>68</v>
      </c>
      <c r="B15" s="240"/>
      <c r="C15" s="244"/>
      <c r="D15" s="244"/>
      <c r="E15" s="244"/>
      <c r="F15" s="244"/>
      <c r="G15" s="245">
        <f>IF(G6&lt;0,0,G6*'Forudsætninger og 15 års budget'!$C$25)</f>
        <v>600</v>
      </c>
    </row>
    <row r="17" spans="1:5" ht="24.75">
      <c r="A17" s="246" t="s">
        <v>156</v>
      </c>
      <c r="B17" s="237"/>
      <c r="D17" s="167"/>
      <c r="E17" s="70"/>
    </row>
    <row r="18" spans="1:7" ht="14.25">
      <c r="A18" s="247"/>
      <c r="B18" s="247"/>
      <c r="C18" s="247" t="s">
        <v>151</v>
      </c>
      <c r="D18" s="247"/>
      <c r="E18" s="247" t="s">
        <v>152</v>
      </c>
      <c r="F18" s="247"/>
      <c r="G18" s="247" t="s">
        <v>153</v>
      </c>
    </row>
    <row r="19" spans="1:7" ht="14.25">
      <c r="A19" s="53" t="s">
        <v>147</v>
      </c>
      <c r="B19" s="52"/>
      <c r="C19" s="52">
        <f>C3</f>
        <v>-15000</v>
      </c>
      <c r="D19" s="52"/>
      <c r="E19" s="52">
        <f>E3</f>
        <v>-1000</v>
      </c>
      <c r="F19" s="52"/>
      <c r="G19" s="52">
        <f>SUM(C19:E19)</f>
        <v>-16000</v>
      </c>
    </row>
    <row r="20" spans="1:7" ht="14.25">
      <c r="A20" s="53" t="s">
        <v>148</v>
      </c>
      <c r="B20" s="52">
        <f>B4</f>
        <v>15937.5</v>
      </c>
      <c r="C20" s="52"/>
      <c r="D20" s="52">
        <f>D4</f>
        <v>1062.5</v>
      </c>
      <c r="E20" s="52"/>
      <c r="F20" s="52">
        <f>G20</f>
        <v>17000</v>
      </c>
      <c r="G20" s="52">
        <f>'Forudsætninger og 15 års budget'!C21</f>
        <v>17000</v>
      </c>
    </row>
    <row r="21" spans="1:7" ht="14.25">
      <c r="A21" s="53" t="s">
        <v>157</v>
      </c>
      <c r="B21" s="52">
        <f>-B20*10%</f>
        <v>-1593.75</v>
      </c>
      <c r="C21" s="52">
        <f>SUM(B20:B21)</f>
        <v>14343.75</v>
      </c>
      <c r="D21" s="52">
        <f>-D20*10%</f>
        <v>-106.25</v>
      </c>
      <c r="E21" s="52">
        <f>SUM(D20:D21)</f>
        <v>956.25</v>
      </c>
      <c r="F21" s="52">
        <f>D21+B21</f>
        <v>-1700</v>
      </c>
      <c r="G21" s="52">
        <f>B21+D21</f>
        <v>-1700</v>
      </c>
    </row>
    <row r="22" spans="1:9" ht="15" thickBot="1">
      <c r="A22" s="125" t="s">
        <v>121</v>
      </c>
      <c r="B22" s="248"/>
      <c r="C22" s="248">
        <f>SUM(C19:C21)</f>
        <v>-656.25</v>
      </c>
      <c r="D22" s="248"/>
      <c r="E22" s="248">
        <f>SUM(E19:E21)</f>
        <v>-43.75</v>
      </c>
      <c r="F22" s="248"/>
      <c r="G22" s="248">
        <f>SUM(G19:G21)</f>
        <v>-700</v>
      </c>
      <c r="I22" s="169"/>
    </row>
    <row r="23" spans="2:7" ht="15" thickTop="1">
      <c r="B23" s="52"/>
      <c r="C23" s="52"/>
      <c r="D23" s="52"/>
      <c r="E23" s="52"/>
      <c r="F23" s="52"/>
      <c r="G23" s="52"/>
    </row>
    <row r="24" spans="1:7" ht="14.25">
      <c r="A24" s="231" t="s">
        <v>154</v>
      </c>
      <c r="B24" s="229"/>
      <c r="C24" s="241">
        <f>IF(C22&lt;0,C21*'Forudsætninger og 15 års budget'!$C$23,-C19*'Forudsætninger og 15 års budget'!$C$23)</f>
        <v>28687.5</v>
      </c>
      <c r="D24" s="241"/>
      <c r="E24" s="241"/>
      <c r="F24" s="241"/>
      <c r="G24" s="242">
        <f>SUM(C24:E24)</f>
        <v>28687.5</v>
      </c>
    </row>
    <row r="25" spans="1:7" ht="14.25">
      <c r="A25" s="238" t="s">
        <v>159</v>
      </c>
      <c r="B25" s="62"/>
      <c r="C25" s="232"/>
      <c r="D25" s="232"/>
      <c r="E25" s="232">
        <f>IF(E22&lt;0,E21*'Forudsætninger og 15 års budget'!$C$24,E19*'Forudsætninger og 15 års budget'!$C$24)</f>
        <v>956.25</v>
      </c>
      <c r="F25" s="232"/>
      <c r="G25" s="233">
        <f>SUM(C25:E25)</f>
        <v>956.25</v>
      </c>
    </row>
    <row r="26" spans="2:7" ht="14.25">
      <c r="B26" s="52"/>
      <c r="C26" s="243"/>
      <c r="D26" s="243"/>
      <c r="E26" s="243"/>
      <c r="F26" s="243"/>
      <c r="G26" s="243"/>
    </row>
    <row r="27" spans="1:7" ht="14.25">
      <c r="A27" s="239" t="s">
        <v>149</v>
      </c>
      <c r="B27" s="240"/>
      <c r="C27" s="244">
        <f>IF(C22&lt;0,C22*'Forudsætninger og 15 års budget'!$C$23,0)</f>
        <v>-1312.5</v>
      </c>
      <c r="D27" s="244"/>
      <c r="E27" s="244">
        <f>IF(E22&lt;0,E22*'Forudsætninger og 15 års budget'!$C$24,0)</f>
        <v>-43.75</v>
      </c>
      <c r="F27" s="244"/>
      <c r="G27" s="245">
        <f>SUM(C27:E27)</f>
        <v>-1356.25</v>
      </c>
    </row>
    <row r="28" spans="2:7" ht="14.25">
      <c r="B28" s="52"/>
      <c r="C28" s="243"/>
      <c r="D28" s="243"/>
      <c r="E28" s="243"/>
      <c r="F28" s="243"/>
      <c r="G28" s="243"/>
    </row>
    <row r="29" spans="1:7" ht="14.25">
      <c r="A29" s="239" t="s">
        <v>150</v>
      </c>
      <c r="B29" s="240"/>
      <c r="C29" s="244">
        <f>IF(C22&gt;0,-C19*'Forudsætninger og 15 års budget'!$C$25,C21*'Forudsætninger og 15 års budget'!$C$25)</f>
        <v>8606.25</v>
      </c>
      <c r="D29" s="244"/>
      <c r="E29" s="244"/>
      <c r="F29" s="244"/>
      <c r="G29" s="245">
        <f>SUM(C29:E29)</f>
        <v>8606.25</v>
      </c>
    </row>
    <row r="30" spans="2:7" ht="14.25">
      <c r="B30" s="52"/>
      <c r="C30" s="243"/>
      <c r="D30" s="243"/>
      <c r="E30" s="243"/>
      <c r="F30" s="243"/>
      <c r="G30" s="243"/>
    </row>
    <row r="31" spans="1:7" ht="14.25">
      <c r="A31" s="239" t="s">
        <v>68</v>
      </c>
      <c r="B31" s="240"/>
      <c r="C31" s="244"/>
      <c r="D31" s="244"/>
      <c r="E31" s="244"/>
      <c r="F31" s="244"/>
      <c r="G31" s="245">
        <f>IF(G22&lt;0,0,G22*'Forudsætninger og 15 års budget'!$C$25)</f>
        <v>0</v>
      </c>
    </row>
    <row r="35" spans="1:5" ht="24.75">
      <c r="A35" s="246" t="s">
        <v>155</v>
      </c>
      <c r="B35" s="237"/>
      <c r="D35" s="167"/>
      <c r="E35" s="70"/>
    </row>
    <row r="36" spans="1:7" ht="14.25">
      <c r="A36" s="247"/>
      <c r="B36" s="247"/>
      <c r="C36" s="247" t="s">
        <v>151</v>
      </c>
      <c r="D36" s="247"/>
      <c r="E36" s="247" t="s">
        <v>152</v>
      </c>
      <c r="F36" s="247"/>
      <c r="G36" s="247" t="s">
        <v>153</v>
      </c>
    </row>
    <row r="37" spans="1:7" ht="14.25">
      <c r="A37" s="53" t="s">
        <v>147</v>
      </c>
      <c r="B37" s="52"/>
      <c r="C37" s="52">
        <f>C19</f>
        <v>-15000</v>
      </c>
      <c r="D37" s="52"/>
      <c r="E37" s="52">
        <f>E19</f>
        <v>-1000</v>
      </c>
      <c r="F37" s="52"/>
      <c r="G37" s="52">
        <f>SUM(C37:E37)</f>
        <v>-16000</v>
      </c>
    </row>
    <row r="38" spans="1:7" ht="14.25">
      <c r="A38" s="53" t="s">
        <v>148</v>
      </c>
      <c r="B38" s="52">
        <f>B20</f>
        <v>15937.5</v>
      </c>
      <c r="C38" s="52"/>
      <c r="D38" s="52">
        <f>D20</f>
        <v>1062.5</v>
      </c>
      <c r="E38" s="52"/>
      <c r="F38" s="52">
        <f>G38</f>
        <v>17000</v>
      </c>
      <c r="G38" s="52">
        <f>G4</f>
        <v>17000</v>
      </c>
    </row>
    <row r="39" spans="1:7" ht="14.25">
      <c r="A39" s="53" t="s">
        <v>158</v>
      </c>
      <c r="B39" s="52">
        <f>B38*10%</f>
        <v>1593.75</v>
      </c>
      <c r="C39" s="52">
        <f>SUM(B38:B39)</f>
        <v>17531.25</v>
      </c>
      <c r="D39" s="52">
        <f>D38*10%</f>
        <v>106.25</v>
      </c>
      <c r="E39" s="52">
        <f>SUM(D38:D39)</f>
        <v>1168.75</v>
      </c>
      <c r="F39" s="52">
        <f>D39+B39</f>
        <v>1700</v>
      </c>
      <c r="G39" s="52">
        <f>D39+B39</f>
        <v>1700</v>
      </c>
    </row>
    <row r="40" spans="1:9" ht="15" thickBot="1">
      <c r="A40" s="125" t="s">
        <v>121</v>
      </c>
      <c r="B40" s="248"/>
      <c r="C40" s="248">
        <f>SUM(C37:C39)</f>
        <v>2531.25</v>
      </c>
      <c r="D40" s="248"/>
      <c r="E40" s="248">
        <f>SUM(E37:E39)</f>
        <v>168.75</v>
      </c>
      <c r="F40" s="248"/>
      <c r="G40" s="248">
        <f>SUM(G37:G39)</f>
        <v>2700</v>
      </c>
      <c r="I40" s="169"/>
    </row>
    <row r="41" spans="2:7" ht="15" thickTop="1">
      <c r="B41" s="52"/>
      <c r="C41" s="52"/>
      <c r="D41" s="52"/>
      <c r="E41" s="52"/>
      <c r="F41" s="52"/>
      <c r="G41" s="52"/>
    </row>
    <row r="42" spans="1:7" ht="14.25">
      <c r="A42" s="231" t="s">
        <v>154</v>
      </c>
      <c r="B42" s="229"/>
      <c r="C42" s="241">
        <f>IF(C40&lt;0,C39*'Forudsætninger og 15 års budget'!$C$23,-C37*'Forudsætninger og 15 års budget'!$C$23)</f>
        <v>30000</v>
      </c>
      <c r="D42" s="241"/>
      <c r="E42" s="241"/>
      <c r="F42" s="241"/>
      <c r="G42" s="242">
        <f>SUM(C42:E42)</f>
        <v>30000</v>
      </c>
    </row>
    <row r="43" spans="1:7" ht="14.25">
      <c r="A43" s="238" t="s">
        <v>159</v>
      </c>
      <c r="B43" s="62"/>
      <c r="C43" s="232"/>
      <c r="D43" s="232"/>
      <c r="E43" s="232">
        <f>IF(E40&lt;0,E39*'Forudsætninger og 15 års budget'!$C$24,E37*'Forudsætninger og 15 års budget'!$C$24)</f>
        <v>-1000</v>
      </c>
      <c r="F43" s="232"/>
      <c r="G43" s="233">
        <f>SUM(C43:E43)</f>
        <v>-1000</v>
      </c>
    </row>
    <row r="44" spans="2:7" ht="14.25">
      <c r="B44" s="52"/>
      <c r="C44" s="243"/>
      <c r="D44" s="243"/>
      <c r="E44" s="243"/>
      <c r="F44" s="243"/>
      <c r="G44" s="243"/>
    </row>
    <row r="45" spans="1:7" ht="14.25">
      <c r="A45" s="239" t="s">
        <v>149</v>
      </c>
      <c r="B45" s="240"/>
      <c r="C45" s="244">
        <f>IF(C40&lt;0,C40*'Forudsætninger og 15 års budget'!$C$23,0)</f>
        <v>0</v>
      </c>
      <c r="D45" s="244"/>
      <c r="E45" s="244">
        <f>IF(E40&lt;0,E40*'Forudsætninger og 15 års budget'!$C$24,0)</f>
        <v>0</v>
      </c>
      <c r="F45" s="244"/>
      <c r="G45" s="245">
        <f>SUM(C45:E45)</f>
        <v>0</v>
      </c>
    </row>
    <row r="46" spans="2:7" ht="14.25">
      <c r="B46" s="52"/>
      <c r="C46" s="243"/>
      <c r="D46" s="243"/>
      <c r="E46" s="243"/>
      <c r="F46" s="243"/>
      <c r="G46" s="243"/>
    </row>
    <row r="47" spans="1:7" ht="14.25">
      <c r="A47" s="239" t="s">
        <v>150</v>
      </c>
      <c r="B47" s="240"/>
      <c r="C47" s="244">
        <f>IF(C40&gt;0,-C37*'Forudsætninger og 15 års budget'!$C$25,C39*'Forudsætninger og 15 års budget'!$C$25)</f>
        <v>9000</v>
      </c>
      <c r="D47" s="244"/>
      <c r="E47" s="244"/>
      <c r="F47" s="244"/>
      <c r="G47" s="245">
        <f>SUM(C47:E47)</f>
        <v>9000</v>
      </c>
    </row>
    <row r="48" spans="2:7" ht="14.25">
      <c r="B48" s="52"/>
      <c r="C48" s="243"/>
      <c r="D48" s="243"/>
      <c r="E48" s="243"/>
      <c r="F48" s="243"/>
      <c r="G48" s="243"/>
    </row>
    <row r="49" spans="1:7" ht="14.25">
      <c r="A49" s="239" t="s">
        <v>68</v>
      </c>
      <c r="B49" s="240"/>
      <c r="C49" s="244"/>
      <c r="D49" s="244"/>
      <c r="E49" s="244"/>
      <c r="F49" s="244"/>
      <c r="G49" s="245">
        <f>IF(G40&lt;0,0,G40*'Forudsætninger og 15 års budget'!$C$25)</f>
        <v>1620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Investering Grøn Energi</dc:title>
  <dc:subject/>
  <dc:creator>Bent K. Christensen</dc:creator>
  <cp:keywords/>
  <dc:description/>
  <cp:lastModifiedBy>Niels Jensen</cp:lastModifiedBy>
  <cp:lastPrinted>2011-10-17T07:30:52Z</cp:lastPrinted>
  <dcterms:created xsi:type="dcterms:W3CDTF">2008-11-07T07:42:54Z</dcterms:created>
  <dcterms:modified xsi:type="dcterms:W3CDTF">2011-10-17T07:40:12Z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0x010100C568DB52D9D0A14D9B2FDCC96666E9F2007948130EC3DB064584E219954237AF3900242457EFB8B24247815D688C526CD44D00C26A9DBCB02B5C4DA1F017B836C045C00060750ADE2E6249BABB5C6118FC133DE800AF2E6DC7107240CAAE62CB7A7C0C31000068F6DF5C7FED7C428079DA547AAED9A6</vt:lpwstr>
  </property>
  <property fmtid="{D5CDD505-2E9C-101B-9397-08002B2CF9AE}" pid="3" name="Metadata">
    <vt:lpwstr/>
  </property>
  <property fmtid="{D5CDD505-2E9C-101B-9397-08002B2CF9AE}" pid="4" name="EntityType">
    <vt:lpwstr>1</vt:lpwstr>
  </property>
  <property fmtid="{D5CDD505-2E9C-101B-9397-08002B2CF9AE}" pid="5" name="Documenttype">
    <vt:lpwstr>xls</vt:lpwstr>
  </property>
  <property fmtid="{D5CDD505-2E9C-101B-9397-08002B2CF9AE}" pid="6" name="EntityNumber">
    <vt:lpwstr>1</vt:lpwstr>
  </property>
  <property fmtid="{D5CDD505-2E9C-101B-9397-08002B2CF9AE}" pid="7" name="ContentType">
    <vt:lpwstr>Landbrugsinfo Binær Fil</vt:lpwstr>
  </property>
  <property fmtid="{D5CDD505-2E9C-101B-9397-08002B2CF9AE}" pid="8" name="PublishingContact">
    <vt:lpwstr>398</vt:lpwstr>
  </property>
  <property fmtid="{D5CDD505-2E9C-101B-9397-08002B2CF9AE}" pid="9" name="PublishingPageContent">
    <vt:lpwstr/>
  </property>
  <property fmtid="{D5CDD505-2E9C-101B-9397-08002B2CF9AE}" pid="10" name="Revisionsdato">
    <vt:lpwstr>2011-10-18T07:13:00Z</vt:lpwstr>
  </property>
  <property fmtid="{D5CDD505-2E9C-101B-9397-08002B2CF9AE}" pid="11" name="HideInRollups">
    <vt:lpwstr>1</vt:lpwstr>
  </property>
  <property fmtid="{D5CDD505-2E9C-101B-9397-08002B2CF9AE}" pid="12" name="Projekter">
    <vt:lpwstr>569;#Demonstration af dynamisk ledelse af landbrugsbedrifter</vt:lpwstr>
  </property>
  <property fmtid="{D5CDD505-2E9C-101B-9397-08002B2CF9AE}" pid="13" name="Ansvarligafdeling">
    <vt:lpwstr>36</vt:lpwstr>
  </property>
  <property fmtid="{D5CDD505-2E9C-101B-9397-08002B2CF9AE}" pid="14" name="Informationsserie">
    <vt:lpwstr/>
  </property>
  <property fmtid="{D5CDD505-2E9C-101B-9397-08002B2CF9AE}" pid="15" name="WebInfoSubjects">
    <vt:lpwstr/>
  </property>
  <property fmtid="{D5CDD505-2E9C-101B-9397-08002B2CF9AE}" pid="16" name="display_urn:schemas-microsoft-com:office:office#PublishingContact">
    <vt:lpwstr>Dorte Marcussen (FMP)</vt:lpwstr>
  </property>
  <property fmtid="{D5CDD505-2E9C-101B-9397-08002B2CF9AE}" pid="17" name="PublishingRollupImage">
    <vt:lpwstr/>
  </property>
  <property fmtid="{D5CDD505-2E9C-101B-9397-08002B2CF9AE}" pid="18" name="Noegleord">
    <vt:lpwstr/>
  </property>
  <property fmtid="{D5CDD505-2E9C-101B-9397-08002B2CF9AE}" pid="19" name="Audience">
    <vt:lpwstr/>
  </property>
  <property fmtid="{D5CDD505-2E9C-101B-9397-08002B2CF9AE}" pid="20" name="Sprogvalg">
    <vt:lpwstr>2</vt:lpwstr>
  </property>
  <property fmtid="{D5CDD505-2E9C-101B-9397-08002B2CF9AE}" pid="21" name="ArticleStartDate">
    <vt:lpwstr>2011-10-18T00:00:00Z</vt:lpwstr>
  </property>
  <property fmtid="{D5CDD505-2E9C-101B-9397-08002B2CF9AE}" pid="22" name="ArticleByLine">
    <vt:lpwstr/>
  </property>
  <property fmtid="{D5CDD505-2E9C-101B-9397-08002B2CF9AE}" pid="23" name="Bekraeftelsesdato">
    <vt:lpwstr>2011-10-18T09:13:00Z</vt:lpwstr>
  </property>
  <property fmtid="{D5CDD505-2E9C-101B-9397-08002B2CF9AE}" pid="24" name="HitCount">
    <vt:lpwstr>26.0000000000000</vt:lpwstr>
  </property>
  <property fmtid="{D5CDD505-2E9C-101B-9397-08002B2CF9AE}" pid="25" name="PublishingImageCaption">
    <vt:lpwstr/>
  </property>
  <property fmtid="{D5CDD505-2E9C-101B-9397-08002B2CF9AE}" pid="26" name="NetSkabelonValue">
    <vt:lpwstr/>
  </property>
  <property fmtid="{D5CDD505-2E9C-101B-9397-08002B2CF9AE}" pid="27" name="PublishingContactEmail">
    <vt:lpwstr/>
  </property>
  <property fmtid="{D5CDD505-2E9C-101B-9397-08002B2CF9AE}" pid="28" name="Arkiveringsdato">
    <vt:lpwstr>2012-10-17T00:00:00Z</vt:lpwstr>
  </property>
  <property fmtid="{D5CDD505-2E9C-101B-9397-08002B2CF9AE}" pid="29" name="GammelURL">
    <vt:lpwstr/>
  </property>
  <property fmtid="{D5CDD505-2E9C-101B-9397-08002B2CF9AE}" pid="30" name="PublishingPageImage">
    <vt:lpwstr/>
  </property>
  <property fmtid="{D5CDD505-2E9C-101B-9397-08002B2CF9AE}" pid="31" name="SummaryLink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32" name="Forfattere">
    <vt:lpwstr>17286;#i:0e.t|dlbr idp|lcdom@prod.dli</vt:lpwstr>
  </property>
  <property fmtid="{D5CDD505-2E9C-101B-9397-08002B2CF9AE}" pid="33" name="PublishingContactPicture">
    <vt:lpwstr/>
  </property>
  <property fmtid="{D5CDD505-2E9C-101B-9397-08002B2CF9AE}" pid="34" name="Ingen besked ved arkivering">
    <vt:lpwstr>0</vt:lpwstr>
  </property>
  <property fmtid="{D5CDD505-2E9C-101B-9397-08002B2CF9AE}" pid="35" name="Rettighedsgruppe">
    <vt:lpwstr>3</vt:lpwstr>
  </property>
  <property fmtid="{D5CDD505-2E9C-101B-9397-08002B2CF9AE}" pid="36" name="PublishingContactName">
    <vt:lpwstr/>
  </property>
  <property fmtid="{D5CDD505-2E9C-101B-9397-08002B2CF9AE}" pid="37" name="Comments">
    <vt:lpwstr>Vær opmærksom på, at værktøjerne er stillet til din rådighed, og at du benytter dem på eget ansvar. Er der noget, du er i tvivl om eller finder uhensigtsmæssigt hører vi dog gerne fra dig.</vt:lpwstr>
  </property>
  <property fmtid="{D5CDD505-2E9C-101B-9397-08002B2CF9AE}" pid="38" name="display_urn:schemas-microsoft-com:office:office#Forfattere">
    <vt:lpwstr>Dorte Marcussen (LCDOM)</vt:lpwstr>
  </property>
  <property fmtid="{D5CDD505-2E9C-101B-9397-08002B2CF9AE}" pid="39" name="Listekode">
    <vt:lpwstr/>
  </property>
  <property fmtid="{D5CDD505-2E9C-101B-9397-08002B2CF9AE}" pid="40" name="Nummer">
    <vt:lpwstr/>
  </property>
  <property fmtid="{D5CDD505-2E9C-101B-9397-08002B2CF9AE}" pid="41" name="Afsender">
    <vt:lpwstr>2</vt:lpwstr>
  </property>
  <property fmtid="{D5CDD505-2E9C-101B-9397-08002B2CF9AE}" pid="42" name="EnclosureFor">
    <vt:lpwstr/>
  </property>
  <property fmtid="{D5CDD505-2E9C-101B-9397-08002B2CF9AE}" pid="43" name="AllowComments">
    <vt:lpwstr>1</vt:lpwstr>
  </property>
  <property fmtid="{D5CDD505-2E9C-101B-9397-08002B2CF9AE}" pid="44" name="DisplayComments">
    <vt:lpwstr>1</vt:lpwstr>
  </property>
  <property fmtid="{D5CDD505-2E9C-101B-9397-08002B2CF9AE}" pid="45" name="KnowledgeArticle">
    <vt:lpwstr>0</vt:lpwstr>
  </property>
</Properties>
</file>